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FB440FD3-F051-42A4-AAD7-A1A581C18AD9}" xr6:coauthVersionLast="47" xr6:coauthVersionMax="47" xr10:uidLastSave="{00000000-0000-0000-0000-000000000000}"/>
  <bookViews>
    <workbookView xWindow="-120" yWindow="-120" windowWidth="29040" windowHeight="15720" tabRatio="749" xr2:uid="{00000000-000D-0000-FFFF-FFFF00000000}"/>
  </bookViews>
  <sheets>
    <sheet name="加算概算額計算　認こ園" sheetId="12" r:id="rId1"/>
    <sheet name="加算概算額計算　保育所" sheetId="11" r:id="rId2"/>
    <sheet name="平均年齢別児童数計算表" sheetId="13" r:id="rId3"/>
    <sheet name="幼稚園" sheetId="9" r:id="rId4"/>
    <sheet name="保育所" sheetId="5" r:id="rId5"/>
    <sheet name="認定こども園" sheetId="6" r:id="rId6"/>
    <sheet name="小規模（事業所内）Ａ・Ｂ" sheetId="7" r:id="rId7"/>
    <sheet name="事業所内（定員20以上）" sheetId="10" r:id="rId8"/>
    <sheet name="小規模Ｃ" sheetId="8" r:id="rId9"/>
  </sheets>
  <definedNames>
    <definedName name="_xlnm.Print_Area" localSheetId="7">'事業所内（定員20以上）'!$A$1:$I$35</definedName>
    <definedName name="_xlnm.Print_Area" localSheetId="6">'小規模（事業所内）Ａ・Ｂ'!$A$1:$I$33</definedName>
    <definedName name="_xlnm.Print_Area" localSheetId="8">小規模Ｃ!$A$1:$I$29</definedName>
    <definedName name="_xlnm.Print_Area" localSheetId="5">認定こども園!$A$1:$L$60</definedName>
    <definedName name="_xlnm.Print_Area" localSheetId="4">保育所!$A$1:$L$46</definedName>
    <definedName name="_xlnm.Print_Area" localSheetId="3">幼稚園!$A$1:$G$44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1" l="1"/>
  <c r="L42" i="11" l="1"/>
  <c r="G42" i="11"/>
  <c r="K42" i="11" s="1"/>
  <c r="F42" i="11"/>
  <c r="J42" i="11" s="1"/>
  <c r="L41" i="11"/>
  <c r="G41" i="11"/>
  <c r="K41" i="11" s="1"/>
  <c r="F41" i="11"/>
  <c r="J41" i="11" s="1"/>
  <c r="L40" i="11"/>
  <c r="J40" i="11"/>
  <c r="G40" i="11"/>
  <c r="K40" i="11" s="1"/>
  <c r="F40" i="11"/>
  <c r="L39" i="11"/>
  <c r="K39" i="11"/>
  <c r="G39" i="11"/>
  <c r="F39" i="11"/>
  <c r="J39" i="11" s="1"/>
  <c r="L38" i="11"/>
  <c r="K38" i="11"/>
  <c r="G38" i="11"/>
  <c r="F38" i="11"/>
  <c r="J38" i="11" s="1"/>
  <c r="L37" i="11"/>
  <c r="G37" i="11"/>
  <c r="K37" i="11" s="1"/>
  <c r="F37" i="11"/>
  <c r="J37" i="11" s="1"/>
  <c r="L36" i="11"/>
  <c r="G36" i="11"/>
  <c r="K36" i="11" s="1"/>
  <c r="F36" i="11"/>
  <c r="J36" i="11" s="1"/>
  <c r="L35" i="11"/>
  <c r="G35" i="11"/>
  <c r="K35" i="11" s="1"/>
  <c r="F35" i="11"/>
  <c r="J35" i="11" s="1"/>
  <c r="L34" i="11"/>
  <c r="G34" i="11"/>
  <c r="K34" i="11" s="1"/>
  <c r="F34" i="11"/>
  <c r="J34" i="11" s="1"/>
  <c r="L33" i="11"/>
  <c r="G33" i="11"/>
  <c r="K33" i="11" s="1"/>
  <c r="F33" i="11"/>
  <c r="J33" i="11" s="1"/>
  <c r="L32" i="11"/>
  <c r="G32" i="11"/>
  <c r="K32" i="11" s="1"/>
  <c r="F32" i="11"/>
  <c r="J32" i="11" s="1"/>
  <c r="L31" i="11"/>
  <c r="G31" i="11"/>
  <c r="K31" i="11" s="1"/>
  <c r="F31" i="11"/>
  <c r="J31" i="11" s="1"/>
  <c r="L30" i="11"/>
  <c r="G30" i="11"/>
  <c r="K30" i="11" s="1"/>
  <c r="F30" i="11"/>
  <c r="J30" i="11" s="1"/>
  <c r="G29" i="11"/>
  <c r="F29" i="11"/>
  <c r="G28" i="11"/>
  <c r="F28" i="11"/>
  <c r="G27" i="11"/>
  <c r="F27" i="11"/>
  <c r="L26" i="11"/>
  <c r="G26" i="11"/>
  <c r="F26" i="11"/>
  <c r="L25" i="11"/>
  <c r="G25" i="11"/>
  <c r="F25" i="11"/>
  <c r="L24" i="11"/>
  <c r="G24" i="11"/>
  <c r="F24" i="11"/>
  <c r="G23" i="11"/>
  <c r="F23" i="11"/>
  <c r="L22" i="11"/>
  <c r="G22" i="11"/>
  <c r="F22" i="11"/>
  <c r="J22" i="11" s="1"/>
  <c r="L21" i="11"/>
  <c r="G21" i="11"/>
  <c r="F21" i="11"/>
  <c r="L20" i="11"/>
  <c r="G20" i="11"/>
  <c r="F20" i="11"/>
  <c r="G19" i="11"/>
  <c r="F19" i="11"/>
  <c r="L18" i="11"/>
  <c r="G18" i="11"/>
  <c r="F18" i="11"/>
  <c r="M17" i="11"/>
  <c r="M43" i="11" s="1"/>
  <c r="M44" i="11" s="1"/>
  <c r="L17" i="11"/>
  <c r="J19" i="11" l="1"/>
  <c r="K22" i="11"/>
  <c r="J20" i="11"/>
  <c r="K20" i="11"/>
  <c r="K24" i="11"/>
  <c r="K18" i="11"/>
  <c r="K26" i="11"/>
  <c r="J18" i="11"/>
  <c r="J23" i="11"/>
  <c r="J26" i="11"/>
  <c r="J24" i="11"/>
  <c r="L19" i="11"/>
  <c r="K21" i="11"/>
  <c r="L23" i="11"/>
  <c r="K25" i="11"/>
  <c r="K28" i="11"/>
  <c r="J21" i="11"/>
  <c r="J25" i="11"/>
  <c r="K19" i="11"/>
  <c r="K23" i="11"/>
  <c r="J28" i="11"/>
  <c r="J17" i="11"/>
  <c r="K27" i="11"/>
  <c r="K29" i="11"/>
  <c r="K17" i="11"/>
  <c r="L28" i="11" l="1"/>
  <c r="K43" i="11"/>
  <c r="J29" i="11"/>
  <c r="L29" i="11"/>
  <c r="J27" i="11"/>
  <c r="J43" i="11" s="1"/>
  <c r="J44" i="11" s="1"/>
  <c r="J45" i="11" s="1"/>
  <c r="L27" i="11"/>
  <c r="L43" i="11" l="1"/>
  <c r="K44" i="11" s="1"/>
  <c r="K45" i="11" s="1"/>
  <c r="M46" i="11" s="1"/>
  <c r="M67" i="12"/>
  <c r="L66" i="12"/>
  <c r="K66" i="12"/>
  <c r="G66" i="12"/>
  <c r="F66" i="12"/>
  <c r="J66" i="12" s="1"/>
  <c r="L65" i="12"/>
  <c r="G65" i="12"/>
  <c r="K65" i="12" s="1"/>
  <c r="F65" i="12"/>
  <c r="J65" i="12" s="1"/>
  <c r="L64" i="12"/>
  <c r="J64" i="12"/>
  <c r="G64" i="12"/>
  <c r="K64" i="12" s="1"/>
  <c r="F64" i="12"/>
  <c r="L63" i="12"/>
  <c r="K63" i="12"/>
  <c r="J63" i="12"/>
  <c r="G63" i="12"/>
  <c r="F63" i="12"/>
  <c r="L62" i="12"/>
  <c r="K62" i="12"/>
  <c r="G62" i="12"/>
  <c r="F62" i="12"/>
  <c r="J62" i="12" s="1"/>
  <c r="L61" i="12"/>
  <c r="G61" i="12"/>
  <c r="K61" i="12" s="1"/>
  <c r="F61" i="12"/>
  <c r="J61" i="12" s="1"/>
  <c r="L60" i="12"/>
  <c r="J60" i="12"/>
  <c r="G60" i="12"/>
  <c r="K60" i="12" s="1"/>
  <c r="F60" i="12"/>
  <c r="L59" i="12"/>
  <c r="K59" i="12"/>
  <c r="J59" i="12"/>
  <c r="G59" i="12"/>
  <c r="F59" i="12"/>
  <c r="L58" i="12"/>
  <c r="K58" i="12"/>
  <c r="G58" i="12"/>
  <c r="F58" i="12"/>
  <c r="J58" i="12" s="1"/>
  <c r="L57" i="12"/>
  <c r="G57" i="12"/>
  <c r="K57" i="12" s="1"/>
  <c r="F57" i="12"/>
  <c r="J57" i="12" s="1"/>
  <c r="L56" i="12"/>
  <c r="J56" i="12"/>
  <c r="G56" i="12"/>
  <c r="K56" i="12" s="1"/>
  <c r="F56" i="12"/>
  <c r="K55" i="12"/>
  <c r="J55" i="12"/>
  <c r="I55" i="12"/>
  <c r="L55" i="12" s="1"/>
  <c r="G55" i="12"/>
  <c r="F55" i="12"/>
  <c r="L54" i="12"/>
  <c r="I54" i="12"/>
  <c r="G54" i="12"/>
  <c r="K54" i="12" s="1"/>
  <c r="F54" i="12"/>
  <c r="J54" i="12" s="1"/>
  <c r="K53" i="12"/>
  <c r="J53" i="12"/>
  <c r="I53" i="12"/>
  <c r="L53" i="12" s="1"/>
  <c r="G53" i="12"/>
  <c r="F53" i="12"/>
  <c r="L52" i="12"/>
  <c r="G52" i="12"/>
  <c r="K52" i="12" s="1"/>
  <c r="F52" i="12"/>
  <c r="J52" i="12" s="1"/>
  <c r="L51" i="12"/>
  <c r="J51" i="12"/>
  <c r="G51" i="12"/>
  <c r="K51" i="12" s="1"/>
  <c r="F51" i="12"/>
  <c r="L50" i="12"/>
  <c r="K50" i="12"/>
  <c r="J50" i="12"/>
  <c r="G50" i="12"/>
  <c r="F50" i="12"/>
  <c r="L49" i="12"/>
  <c r="K49" i="12"/>
  <c r="G49" i="12"/>
  <c r="F49" i="12"/>
  <c r="J49" i="12" s="1"/>
  <c r="L48" i="12"/>
  <c r="G48" i="12"/>
  <c r="K48" i="12" s="1"/>
  <c r="F48" i="12"/>
  <c r="J48" i="12" s="1"/>
  <c r="L47" i="12"/>
  <c r="J47" i="12"/>
  <c r="G47" i="12"/>
  <c r="K47" i="12" s="1"/>
  <c r="F47" i="12"/>
  <c r="L46" i="12"/>
  <c r="K46" i="12"/>
  <c r="J46" i="12"/>
  <c r="G46" i="12"/>
  <c r="F46" i="12"/>
  <c r="L45" i="12"/>
  <c r="K45" i="12"/>
  <c r="G45" i="12"/>
  <c r="F45" i="12"/>
  <c r="J45" i="12" s="1"/>
  <c r="L44" i="12"/>
  <c r="G44" i="12"/>
  <c r="K44" i="12" s="1"/>
  <c r="F44" i="12"/>
  <c r="J44" i="12" s="1"/>
  <c r="M43" i="12"/>
  <c r="L43" i="12"/>
  <c r="K43" i="12"/>
  <c r="K67" i="12" s="1"/>
  <c r="J43" i="12"/>
  <c r="E41" i="12"/>
  <c r="L37" i="12"/>
  <c r="K37" i="12"/>
  <c r="J37" i="12"/>
  <c r="G37" i="12"/>
  <c r="F37" i="12"/>
  <c r="L36" i="12"/>
  <c r="K36" i="12"/>
  <c r="G36" i="12"/>
  <c r="F36" i="12"/>
  <c r="J36" i="12" s="1"/>
  <c r="L35" i="12"/>
  <c r="G35" i="12"/>
  <c r="K35" i="12" s="1"/>
  <c r="F35" i="12"/>
  <c r="J35" i="12" s="1"/>
  <c r="L34" i="12"/>
  <c r="J34" i="12"/>
  <c r="G34" i="12"/>
  <c r="K34" i="12" s="1"/>
  <c r="F34" i="12"/>
  <c r="L33" i="12"/>
  <c r="K33" i="12"/>
  <c r="J33" i="12"/>
  <c r="G33" i="12"/>
  <c r="F33" i="12"/>
  <c r="L32" i="12"/>
  <c r="K32" i="12"/>
  <c r="G32" i="12"/>
  <c r="F32" i="12"/>
  <c r="J32" i="12" s="1"/>
  <c r="L31" i="12"/>
  <c r="G31" i="12"/>
  <c r="K31" i="12" s="1"/>
  <c r="F31" i="12"/>
  <c r="J31" i="12" s="1"/>
  <c r="I30" i="12"/>
  <c r="L30" i="12" s="1"/>
  <c r="G30" i="12"/>
  <c r="K30" i="12" s="1"/>
  <c r="F30" i="12"/>
  <c r="L29" i="12"/>
  <c r="K29" i="12"/>
  <c r="I29" i="12"/>
  <c r="G29" i="12"/>
  <c r="F29" i="12"/>
  <c r="J29" i="12" s="1"/>
  <c r="I28" i="12"/>
  <c r="L28" i="12" s="1"/>
  <c r="G28" i="12"/>
  <c r="K28" i="12" s="1"/>
  <c r="F28" i="12"/>
  <c r="L27" i="12"/>
  <c r="K27" i="12"/>
  <c r="I27" i="12"/>
  <c r="G27" i="12"/>
  <c r="F27" i="12"/>
  <c r="J27" i="12" s="1"/>
  <c r="I26" i="12"/>
  <c r="L26" i="12" s="1"/>
  <c r="G26" i="12"/>
  <c r="F26" i="12"/>
  <c r="L25" i="12"/>
  <c r="K25" i="12"/>
  <c r="G25" i="12"/>
  <c r="F25" i="12"/>
  <c r="J25" i="12" s="1"/>
  <c r="L24" i="12"/>
  <c r="I24" i="12"/>
  <c r="G24" i="12"/>
  <c r="K24" i="12" s="1"/>
  <c r="F24" i="12"/>
  <c r="J24" i="12" s="1"/>
  <c r="K23" i="12"/>
  <c r="J23" i="12"/>
  <c r="I23" i="12"/>
  <c r="L23" i="12" s="1"/>
  <c r="G23" i="12"/>
  <c r="F23" i="12"/>
  <c r="L22" i="12"/>
  <c r="I22" i="12"/>
  <c r="G22" i="12"/>
  <c r="K22" i="12" s="1"/>
  <c r="F22" i="12"/>
  <c r="J22" i="12" s="1"/>
  <c r="K21" i="12"/>
  <c r="J21" i="12"/>
  <c r="I21" i="12"/>
  <c r="L21" i="12" s="1"/>
  <c r="G21" i="12"/>
  <c r="F21" i="12"/>
  <c r="K20" i="12"/>
  <c r="I20" i="12"/>
  <c r="G20" i="12"/>
  <c r="F20" i="12"/>
  <c r="J20" i="12" s="1"/>
  <c r="L19" i="12"/>
  <c r="J19" i="12"/>
  <c r="G19" i="12"/>
  <c r="K19" i="12" s="1"/>
  <c r="F19" i="12"/>
  <c r="L18" i="12"/>
  <c r="K18" i="12"/>
  <c r="J18" i="12"/>
  <c r="G18" i="12"/>
  <c r="F18" i="12"/>
  <c r="M17" i="12"/>
  <c r="M38" i="12" s="1"/>
  <c r="M68" i="12" s="1"/>
  <c r="L17" i="12"/>
  <c r="K17" i="12"/>
  <c r="J17" i="12"/>
  <c r="E15" i="12"/>
  <c r="H28" i="8"/>
  <c r="H27" i="8"/>
  <c r="H33" i="10"/>
  <c r="H34" i="10"/>
  <c r="H32" i="7"/>
  <c r="H31" i="7"/>
  <c r="H59" i="6"/>
  <c r="H58" i="6"/>
  <c r="H45" i="5"/>
  <c r="H44" i="5"/>
  <c r="F42" i="9"/>
  <c r="L67" i="12" l="1"/>
  <c r="L38" i="12"/>
  <c r="K38" i="12"/>
  <c r="K68" i="12" s="1"/>
  <c r="J67" i="12"/>
  <c r="J30" i="12"/>
  <c r="K26" i="12"/>
  <c r="J26" i="12"/>
  <c r="J28" i="12"/>
  <c r="J38" i="12" s="1"/>
  <c r="J68" i="12" s="1"/>
  <c r="K25" i="5"/>
  <c r="L68" i="12" l="1"/>
  <c r="K69" i="12" s="1"/>
  <c r="M70" i="12" s="1"/>
  <c r="G31" i="9"/>
  <c r="H24" i="8"/>
  <c r="H23" i="8"/>
  <c r="G24" i="8"/>
  <c r="G23" i="8"/>
  <c r="H20" i="8"/>
  <c r="H14" i="8"/>
  <c r="H19" i="8" s="1"/>
  <c r="G9" i="8"/>
  <c r="H30" i="10"/>
  <c r="H29" i="10"/>
  <c r="G30" i="10"/>
  <c r="G29" i="10"/>
  <c r="H26" i="10"/>
  <c r="H25" i="10"/>
  <c r="H23" i="10"/>
  <c r="H20" i="10"/>
  <c r="H19" i="10"/>
  <c r="G18" i="10"/>
  <c r="G17" i="10"/>
  <c r="H15" i="10"/>
  <c r="G15" i="10"/>
  <c r="G14" i="10"/>
  <c r="G13" i="10"/>
  <c r="H28" i="7"/>
  <c r="H27" i="7"/>
  <c r="G28" i="7"/>
  <c r="G27" i="7"/>
  <c r="H24" i="7"/>
  <c r="H23" i="7"/>
  <c r="H17" i="7"/>
  <c r="H15" i="7"/>
  <c r="H14" i="7"/>
  <c r="G12" i="7"/>
  <c r="H50" i="6"/>
  <c r="H33" i="6"/>
  <c r="G26" i="6"/>
  <c r="J29" i="6"/>
  <c r="K29" i="6" s="1"/>
  <c r="L29" i="5"/>
  <c r="H30" i="5"/>
  <c r="J21" i="5" l="1"/>
  <c r="I30" i="6" l="1"/>
  <c r="I26" i="5"/>
  <c r="J24" i="6" l="1"/>
  <c r="F24" i="6"/>
  <c r="F21" i="5"/>
  <c r="G21" i="5" s="1"/>
  <c r="H21" i="5" s="1"/>
  <c r="G19" i="9" l="1"/>
  <c r="G18" i="9"/>
  <c r="I25" i="6"/>
  <c r="K24" i="6" s="1"/>
  <c r="G17" i="9" l="1"/>
  <c r="G24" i="6"/>
  <c r="H37" i="6"/>
  <c r="H38" i="6"/>
  <c r="I18" i="5"/>
  <c r="H33" i="5"/>
  <c r="H40" i="6" l="1"/>
  <c r="H39" i="6"/>
  <c r="J26" i="6"/>
  <c r="I24" i="5"/>
  <c r="J23" i="5"/>
  <c r="K23" i="5" s="1"/>
  <c r="I22" i="5"/>
  <c r="K21" i="5" s="1"/>
  <c r="F23" i="5"/>
  <c r="G23" i="5" s="1"/>
  <c r="F8" i="9"/>
  <c r="H31" i="5" l="1"/>
  <c r="H32" i="5"/>
  <c r="G22" i="9"/>
  <c r="G24" i="9" l="1"/>
  <c r="G15" i="7" l="1"/>
  <c r="L34" i="6"/>
  <c r="L35" i="5" l="1"/>
  <c r="H35" i="5"/>
  <c r="G23" i="9" l="1"/>
  <c r="G21" i="9"/>
  <c r="G32" i="9"/>
  <c r="H22" i="10" l="1"/>
  <c r="H16" i="8"/>
  <c r="H20" i="7"/>
  <c r="H45" i="6"/>
  <c r="H34" i="5"/>
  <c r="I34" i="5"/>
  <c r="G30" i="9"/>
  <c r="G29" i="9"/>
  <c r="I37" i="6" l="1"/>
  <c r="I28" i="6" l="1"/>
  <c r="I27" i="6"/>
  <c r="K26" i="6" s="1"/>
  <c r="F8" i="6" l="1"/>
  <c r="L33" i="6"/>
  <c r="L26" i="6" l="1"/>
  <c r="H14" i="10" l="1"/>
  <c r="H13" i="10"/>
  <c r="G14" i="7"/>
  <c r="H12" i="7"/>
  <c r="G11" i="7"/>
  <c r="H11" i="7" s="1"/>
  <c r="G10" i="7"/>
  <c r="H10" i="7" s="1"/>
  <c r="J27" i="5"/>
  <c r="J25" i="5"/>
  <c r="L35" i="6" l="1"/>
  <c r="J8" i="6"/>
  <c r="J11" i="6"/>
  <c r="K49" i="6"/>
  <c r="L49" i="6" s="1"/>
  <c r="I36" i="6"/>
  <c r="H35" i="6"/>
  <c r="J31" i="6"/>
  <c r="H34" i="6" l="1"/>
  <c r="K31" i="6"/>
  <c r="L31" i="6" s="1"/>
  <c r="L29" i="6"/>
  <c r="L24" i="6"/>
  <c r="G49" i="6"/>
  <c r="H49" i="6" s="1"/>
  <c r="L32" i="6" l="1"/>
  <c r="I48" i="6"/>
  <c r="I47" i="6"/>
  <c r="I46" i="6"/>
  <c r="I44" i="6"/>
  <c r="I43" i="6"/>
  <c r="I42" i="6"/>
  <c r="I41" i="6"/>
  <c r="I40" i="6"/>
  <c r="I39" i="6"/>
  <c r="I38" i="6"/>
  <c r="L50" i="6" l="1"/>
  <c r="L51" i="6" s="1"/>
  <c r="J7" i="6"/>
  <c r="K27" i="5"/>
  <c r="L27" i="5" s="1"/>
  <c r="L25" i="5"/>
  <c r="L21" i="5"/>
  <c r="I33" i="5"/>
  <c r="I32" i="5"/>
  <c r="I31" i="5"/>
  <c r="I30" i="5"/>
  <c r="J9" i="5"/>
  <c r="J7" i="5"/>
  <c r="L23" i="5" l="1"/>
  <c r="L28" i="5" s="1"/>
  <c r="L36" i="5" s="1"/>
  <c r="L37" i="5" s="1"/>
  <c r="G26" i="9" l="1"/>
  <c r="H24" i="10" l="1"/>
  <c r="F9" i="5" l="1"/>
  <c r="H48" i="6" l="1"/>
  <c r="H47" i="6"/>
  <c r="F26" i="6" l="1"/>
  <c r="H21" i="10" l="1"/>
  <c r="H17" i="10"/>
  <c r="H18" i="10"/>
  <c r="H35" i="10" l="1"/>
  <c r="F31" i="6"/>
  <c r="F29" i="6"/>
  <c r="G29" i="6" s="1"/>
  <c r="F11" i="6"/>
  <c r="F25" i="5" l="1"/>
  <c r="G25" i="5" s="1"/>
  <c r="H25" i="5" s="1"/>
  <c r="F27" i="5"/>
  <c r="H23" i="5" l="1"/>
  <c r="G28" i="9" l="1"/>
  <c r="G27" i="9"/>
  <c r="G25" i="9"/>
  <c r="G33" i="9" l="1"/>
  <c r="G34" i="9" s="1"/>
  <c r="G13" i="8"/>
  <c r="H13" i="8" s="1"/>
  <c r="G12" i="8"/>
  <c r="H12" i="8" s="1"/>
  <c r="H9" i="8"/>
  <c r="H17" i="8"/>
  <c r="H15" i="8"/>
  <c r="H18" i="7"/>
  <c r="H21" i="7"/>
  <c r="H19" i="7"/>
  <c r="H46" i="6"/>
  <c r="H44" i="6"/>
  <c r="H43" i="6"/>
  <c r="H42" i="6"/>
  <c r="H36" i="6"/>
  <c r="H41" i="6"/>
  <c r="G31" i="6"/>
  <c r="H31" i="6" s="1"/>
  <c r="H29" i="6"/>
  <c r="H26" i="6"/>
  <c r="H24" i="6"/>
  <c r="H29" i="5"/>
  <c r="G27" i="5"/>
  <c r="H27" i="5" s="1"/>
  <c r="H28" i="5" s="1"/>
  <c r="H36" i="5" s="1"/>
  <c r="H37" i="5" s="1"/>
  <c r="G41" i="5" l="1"/>
  <c r="G40" i="5"/>
  <c r="H40" i="5" s="1"/>
  <c r="F38" i="9"/>
  <c r="F39" i="9"/>
  <c r="F43" i="9" s="1"/>
  <c r="F44" i="9" s="1"/>
  <c r="H32" i="6"/>
  <c r="H51" i="6" s="1"/>
  <c r="G54" i="6" l="1"/>
  <c r="H54" i="6" s="1"/>
  <c r="G55" i="6"/>
  <c r="H55" i="6" s="1"/>
  <c r="H60" i="6" l="1"/>
  <c r="H41" i="5"/>
  <c r="H46" i="5" s="1"/>
  <c r="H29" i="8" l="1"/>
  <c r="H3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2" authorId="0" shapeId="0" xr:uid="{00000000-0006-0000-0000-000001000000}">
      <text>
        <r>
          <rPr>
            <sz val="12"/>
            <color indexed="81"/>
            <rFont val="MS P ゴシック"/>
            <family val="3"/>
            <charset val="128"/>
          </rPr>
          <t>加算算定上の「加配人数」を入力</t>
        </r>
      </text>
    </comment>
    <comment ref="C29" authorId="0" shapeId="0" xr:uid="{00000000-0006-0000-0000-000002000000}">
      <text>
        <r>
          <rPr>
            <sz val="11"/>
            <color indexed="81"/>
            <rFont val="MS P ゴシック"/>
            <family val="3"/>
            <charset val="128"/>
          </rPr>
          <t>A:配置を受けていること</t>
        </r>
      </text>
    </comment>
    <comment ref="F31" authorId="0" shapeId="0" xr:uid="{00000000-0006-0000-0000-000003000000}">
      <text>
        <r>
          <rPr>
            <sz val="12"/>
            <color indexed="81"/>
            <rFont val="MS P ゴシック"/>
            <family val="3"/>
            <charset val="128"/>
          </rPr>
          <t>「必要教員数－配置教員数」
の値を入力</t>
        </r>
      </text>
    </comment>
    <comment ref="G37" authorId="0" shapeId="0" xr:uid="{95509894-C640-4D57-AC6F-332C150E0F7A}">
      <text>
        <r>
          <rPr>
            <sz val="12"/>
            <color indexed="81"/>
            <rFont val="MS P ゴシック"/>
            <family val="3"/>
            <charset val="128"/>
          </rPr>
          <t>研修修了者の実人数を入力
（実人数を入力しなければ加算見込額が算出されません。）</t>
        </r>
      </text>
    </comment>
    <comment ref="F42" authorId="0" shapeId="0" xr:uid="{8D4303C0-38F0-4771-B63E-04C4BCBAAD11}">
      <text>
        <r>
          <rPr>
            <sz val="12"/>
            <color indexed="81"/>
            <rFont val="MS P ゴシック"/>
            <family val="3"/>
            <charset val="128"/>
          </rPr>
          <t>研修修了者の実人数が算定人数に達していない場合は、実人数が人数Aとなります。</t>
        </r>
      </text>
    </comment>
    <comment ref="F43" authorId="0" shapeId="0" xr:uid="{4ABD5EED-C767-4895-B320-7DA815381DAC}">
      <text>
        <r>
          <rPr>
            <sz val="12"/>
            <color indexed="81"/>
            <rFont val="MS P ゴシック"/>
            <family val="3"/>
            <charset val="128"/>
          </rPr>
          <t>研修修了者の実人数が算定人数に達していない場合は、実人数が人数Bとなります。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3" authorId="0" shapeId="0" xr:uid="{A5173801-96A6-4B8A-B4F4-1B4682CCE5FA}">
      <text>
        <r>
          <rPr>
            <sz val="12"/>
            <color indexed="81"/>
            <rFont val="ＭＳ Ｐゴシック"/>
            <family val="3"/>
            <charset val="128"/>
          </rPr>
          <t>加算算定上の「加配人数」を入力</t>
        </r>
        <r>
          <rPr>
            <sz val="10"/>
            <color indexed="81"/>
            <rFont val="ＭＳ Ｐゴシック"/>
            <family val="3"/>
            <charset val="128"/>
          </rPr>
          <t xml:space="preserve">
</t>
        </r>
      </text>
    </comment>
    <comment ref="C34" authorId="0" shapeId="0" xr:uid="{00000000-0006-0000-0100-000001000000}">
      <text>
        <r>
          <rPr>
            <sz val="12"/>
            <color indexed="81"/>
            <rFont val="MS P ゴシック"/>
            <family val="3"/>
            <charset val="128"/>
          </rPr>
          <t>A：配置であること</t>
        </r>
      </text>
    </comment>
    <comment ref="I39" authorId="0" shapeId="0" xr:uid="{6E4DC130-073F-4C23-A586-698A2EAA2990}">
      <text>
        <r>
          <rPr>
            <sz val="12"/>
            <color indexed="81"/>
            <rFont val="MS P ゴシック"/>
            <family val="3"/>
            <charset val="128"/>
          </rPr>
          <t>研修修了者の実人数を入力
（実人数を入力しなければ加算見込額が算出されません。）</t>
        </r>
      </text>
    </comment>
    <comment ref="H44" authorId="0" shapeId="0" xr:uid="{913D507E-F70B-4C52-AC66-D1C57997606B}">
      <text>
        <r>
          <rPr>
            <sz val="11"/>
            <color indexed="81"/>
            <rFont val="MS P ゴシック"/>
            <family val="3"/>
            <charset val="128"/>
          </rPr>
          <t>研修修了者の実人数が算定人数に達していない場合は、実人数が人数Aとなります。</t>
        </r>
      </text>
    </comment>
    <comment ref="H45" authorId="0" shapeId="0" xr:uid="{43B83D45-5E91-48B5-B9C2-09B55060EB1D}">
      <text>
        <r>
          <rPr>
            <sz val="12"/>
            <color indexed="81"/>
            <rFont val="MS P ゴシック"/>
            <family val="3"/>
            <charset val="128"/>
          </rPr>
          <t>研修修了者の実人数が算定人数に達していない場合は、実人数が人数Bとなります。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8" authorId="0" shapeId="0" xr:uid="{00000000-0006-0000-0200-000001000000}">
      <text>
        <r>
          <rPr>
            <sz val="12"/>
            <color indexed="81"/>
            <rFont val="ＭＳ Ｐゴシック"/>
            <family val="3"/>
            <charset val="128"/>
          </rPr>
          <t>加算算定上の「加配人数」を入力</t>
        </r>
        <r>
          <rPr>
            <sz val="10"/>
            <color indexed="81"/>
            <rFont val="ＭＳ Ｐゴシック"/>
            <family val="3"/>
            <charset val="128"/>
          </rPr>
          <t xml:space="preserve">
</t>
        </r>
      </text>
    </comment>
    <comment ref="C45" authorId="0" shapeId="0" xr:uid="{00000000-0006-0000-0200-000002000000}">
      <text>
        <r>
          <rPr>
            <sz val="12"/>
            <color indexed="81"/>
            <rFont val="MS P ゴシック"/>
            <family val="3"/>
            <charset val="128"/>
          </rPr>
          <t>A[配置」であること</t>
        </r>
      </text>
    </comment>
    <comment ref="F47" authorId="0" shapeId="0" xr:uid="{00000000-0006-0000-0200-000003000000}">
      <text>
        <r>
          <rPr>
            <sz val="12"/>
            <color indexed="81"/>
            <rFont val="MS P ゴシック"/>
            <family val="3"/>
            <charset val="128"/>
          </rPr>
          <t>「必要代替保育教諭等数－配置代替保育教諭等数」の値を入力</t>
        </r>
      </text>
    </comment>
    <comment ref="F48" authorId="0" shapeId="0" xr:uid="{00000000-0006-0000-0200-000004000000}">
      <text>
        <r>
          <rPr>
            <sz val="12"/>
            <color indexed="81"/>
            <rFont val="MS P ゴシック"/>
            <family val="3"/>
            <charset val="128"/>
          </rPr>
          <t>「必要保育教諭等数－配置保育教諭等数」
の値を入力</t>
        </r>
      </text>
    </comment>
    <comment ref="I53" authorId="0" shapeId="0" xr:uid="{6E92244C-98B0-43C9-86E0-9BD0A9F4405E}">
      <text>
        <r>
          <rPr>
            <sz val="12"/>
            <color indexed="81"/>
            <rFont val="MS P ゴシック"/>
            <family val="3"/>
            <charset val="128"/>
          </rPr>
          <t>研修修了者の実人数を入力
（実人数を入力しなければ加算見込額が算出されません。）</t>
        </r>
      </text>
    </comment>
    <comment ref="H58" authorId="0" shapeId="0" xr:uid="{D53CE5A0-4294-4314-9BC3-339783620B13}">
      <text>
        <r>
          <rPr>
            <sz val="12"/>
            <color indexed="81"/>
            <rFont val="MS P ゴシック"/>
            <family val="3"/>
            <charset val="128"/>
          </rPr>
          <t>研修修了者の実人数が算定人数に達していない場合は、実人数が人数Aとなります。</t>
        </r>
      </text>
    </comment>
    <comment ref="H59" authorId="0" shapeId="0" xr:uid="{C048432D-8DF6-4C93-B3E0-954FD5241017}">
      <text>
        <r>
          <rPr>
            <sz val="12"/>
            <color indexed="81"/>
            <rFont val="MS P ゴシック"/>
            <family val="3"/>
            <charset val="128"/>
          </rPr>
          <t>研修修了者の実人数が算定人数に達していない場合は、実人数が人数Bとなります。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3" authorId="0" shapeId="0" xr:uid="{BE5704C0-AD27-4E6E-AA2A-A66919E49793}">
      <text>
        <r>
          <rPr>
            <sz val="12"/>
            <color indexed="81"/>
            <rFont val="MS P ゴシック"/>
            <family val="3"/>
            <charset val="128"/>
          </rPr>
          <t>１歳児配置改善加算を受ける場合、１歳児の人数を入力すること</t>
        </r>
      </text>
    </comment>
    <comment ref="C20" authorId="0" shapeId="0" xr:uid="{00000000-0006-0000-0300-000001000000}">
      <text>
        <r>
          <rPr>
            <sz val="12"/>
            <color indexed="81"/>
            <rFont val="MS P ゴシック"/>
            <family val="3"/>
            <charset val="128"/>
          </rPr>
          <t>A「配置」であること</t>
        </r>
      </text>
    </comment>
    <comment ref="I26" authorId="0" shapeId="0" xr:uid="{717195B2-F95E-4E27-87A3-D1A343F3CBFA}">
      <text>
        <r>
          <rPr>
            <sz val="12"/>
            <color indexed="81"/>
            <rFont val="MS P ゴシック"/>
            <family val="3"/>
            <charset val="128"/>
          </rPr>
          <t>研修修了者の実人数を入力
（実人数を入力しなければ加算見込額が算出されません。）</t>
        </r>
      </text>
    </comment>
    <comment ref="H31" authorId="0" shapeId="0" xr:uid="{03939631-E44B-4BA6-AAA7-496CD06CA3F7}">
      <text>
        <r>
          <rPr>
            <sz val="12"/>
            <color indexed="81"/>
            <rFont val="MS P ゴシック"/>
            <family val="3"/>
            <charset val="128"/>
          </rPr>
          <t>研修修了者の実人数が算定人数に達していない場合は、実人数が人数Aとなります。</t>
        </r>
      </text>
    </comment>
    <comment ref="H32" authorId="0" shapeId="0" xr:uid="{C35CBA13-B05C-4888-9D1A-739C62673ECF}">
      <text>
        <r>
          <rPr>
            <sz val="12"/>
            <color indexed="81"/>
            <rFont val="MS P ゴシック"/>
            <family val="3"/>
            <charset val="128"/>
          </rPr>
          <t>研修修了者の実人数が算定人数に達していない場合は、実人数が人数Bとなります。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6" authorId="0" shapeId="0" xr:uid="{3D9098EE-2765-4326-9795-82B436ABDBD1}">
      <text>
        <r>
          <rPr>
            <sz val="12"/>
            <color indexed="81"/>
            <rFont val="MS P ゴシック"/>
            <family val="3"/>
            <charset val="128"/>
          </rPr>
          <t>１歳児配置改善加算を受ける場合、１歳児の人数を入力すること</t>
        </r>
      </text>
    </comment>
    <comment ref="C22" authorId="0" shapeId="0" xr:uid="{00000000-0006-0000-0400-000001000000}">
      <text>
        <r>
          <rPr>
            <sz val="12"/>
            <color indexed="81"/>
            <rFont val="MS P ゴシック"/>
            <family val="3"/>
            <charset val="128"/>
          </rPr>
          <t>A「配置」であること</t>
        </r>
      </text>
    </comment>
    <comment ref="I28" authorId="0" shapeId="0" xr:uid="{F118E35D-1ECA-419F-A552-2EA0102803A8}">
      <text>
        <r>
          <rPr>
            <sz val="12"/>
            <color indexed="81"/>
            <rFont val="MS P ゴシック"/>
            <family val="3"/>
            <charset val="128"/>
          </rPr>
          <t>研修修了者の実人数を入力
（実人数を入力しなければ加算見込額が算出されません。）</t>
        </r>
      </text>
    </comment>
    <comment ref="H33" authorId="0" shapeId="0" xr:uid="{5022E39C-00BB-4C62-AFA7-13C642DC8DA4}">
      <text>
        <r>
          <rPr>
            <sz val="12"/>
            <color indexed="81"/>
            <rFont val="MS P ゴシック"/>
            <family val="3"/>
            <charset val="128"/>
          </rPr>
          <t>研修修了者の実人数が算定人数に達していない場合は、実人数が人数Aとなります。</t>
        </r>
      </text>
    </comment>
    <comment ref="H34" authorId="0" shapeId="0" xr:uid="{E4EA29A8-B822-496A-AB50-09300D8471E9}">
      <text>
        <r>
          <rPr>
            <sz val="12"/>
            <color indexed="81"/>
            <rFont val="MS P ゴシック"/>
            <family val="3"/>
            <charset val="128"/>
          </rPr>
          <t>研修修了者の実人数が算定人数に達していない場合は、実人数が人数Bとなります。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6" authorId="0" shapeId="0" xr:uid="{00000000-0006-0000-0500-000001000000}">
      <text>
        <r>
          <rPr>
            <sz val="12"/>
            <color indexed="81"/>
            <rFont val="MS P ゴシック"/>
            <family val="3"/>
            <charset val="128"/>
          </rPr>
          <t>A「配置」であること</t>
        </r>
      </text>
    </comment>
    <comment ref="I22" authorId="0" shapeId="0" xr:uid="{0C3061D5-070C-4EF2-ABAE-2C7AABCDE468}">
      <text>
        <r>
          <rPr>
            <sz val="12"/>
            <color indexed="81"/>
            <rFont val="MS P ゴシック"/>
            <family val="3"/>
            <charset val="128"/>
          </rPr>
          <t>研修修了者の実人数を入力
（実人数を入力しなければ加算見込額が算出されません。）</t>
        </r>
      </text>
    </comment>
    <comment ref="H27" authorId="0" shapeId="0" xr:uid="{F5D76FA4-0A06-498C-874E-E24CC3D9F6F8}">
      <text>
        <r>
          <rPr>
            <sz val="12"/>
            <color indexed="81"/>
            <rFont val="MS P ゴシック"/>
            <family val="3"/>
            <charset val="128"/>
          </rPr>
          <t>研修修了者の実人数が算定人数に達していない場合は、実人数が人数Aとなります。</t>
        </r>
      </text>
    </comment>
    <comment ref="H28" authorId="0" shapeId="0" xr:uid="{571FCBC7-DA9C-4DDD-A0C2-85626FB06C71}">
      <text>
        <r>
          <rPr>
            <sz val="12"/>
            <color indexed="81"/>
            <rFont val="MS P ゴシック"/>
            <family val="3"/>
            <charset val="128"/>
          </rPr>
          <t>研修修了者の実人数が算定人数に達していない場合は、実人数が人数Bとなります。</t>
        </r>
        <r>
          <rPr>
            <sz val="9"/>
            <color indexed="81"/>
            <rFont val="MS P ゴシック"/>
            <family val="3"/>
            <charset val="128"/>
          </rPr>
          <t xml:space="preserve">
</t>
        </r>
      </text>
    </comment>
  </commentList>
</comments>
</file>

<file path=xl/sharedStrings.xml><?xml version="1.0" encoding="utf-8"?>
<sst xmlns="http://schemas.openxmlformats.org/spreadsheetml/2006/main" count="724" uniqueCount="252">
  <si>
    <t>施設・事業所名</t>
    <rPh sb="0" eb="2">
      <t>シセツ</t>
    </rPh>
    <rPh sb="3" eb="6">
      <t>ジギョウショ</t>
    </rPh>
    <rPh sb="6" eb="7">
      <t>メイ</t>
    </rPh>
    <phoneticPr fontId="1"/>
  </si>
  <si>
    <t>○○○幼稚園</t>
    <rPh sb="3" eb="6">
      <t>ヨウチエン</t>
    </rPh>
    <phoneticPr fontId="1"/>
  </si>
  <si>
    <t>0．基礎情報</t>
    <rPh sb="2" eb="4">
      <t>キソ</t>
    </rPh>
    <rPh sb="4" eb="6">
      <t>ジョウホウ</t>
    </rPh>
    <phoneticPr fontId="1"/>
  </si>
  <si>
    <t>入力項目</t>
    <rPh sb="0" eb="2">
      <t>ニュウリョク</t>
    </rPh>
    <rPh sb="2" eb="4">
      <t>コウモク</t>
    </rPh>
    <phoneticPr fontId="1"/>
  </si>
  <si>
    <t>利用定員数</t>
    <rPh sb="0" eb="2">
      <t>リヨウ</t>
    </rPh>
    <rPh sb="2" eb="4">
      <t>テイイン</t>
    </rPh>
    <rPh sb="4" eb="5">
      <t>スウ</t>
    </rPh>
    <phoneticPr fontId="1"/>
  </si>
  <si>
    <t>在籍園児数</t>
    <rPh sb="0" eb="2">
      <t>ザイセキ</t>
    </rPh>
    <rPh sb="2" eb="4">
      <t>エンジ</t>
    </rPh>
    <rPh sb="4" eb="5">
      <t>スウ</t>
    </rPh>
    <phoneticPr fontId="1"/>
  </si>
  <si>
    <t>４歳児以上児</t>
    <rPh sb="1" eb="3">
      <t>サイジ</t>
    </rPh>
    <rPh sb="3" eb="5">
      <t>イジョウ</t>
    </rPh>
    <rPh sb="5" eb="6">
      <t>ジ</t>
    </rPh>
    <phoneticPr fontId="1"/>
  </si>
  <si>
    <t>３歳児（※満３歳児含む）</t>
    <rPh sb="1" eb="2">
      <t>サイ</t>
    </rPh>
    <rPh sb="2" eb="3">
      <t>ジ</t>
    </rPh>
    <rPh sb="5" eb="6">
      <t>マン</t>
    </rPh>
    <rPh sb="7" eb="8">
      <t>サイ</t>
    </rPh>
    <rPh sb="8" eb="9">
      <t>ジ</t>
    </rPh>
    <rPh sb="9" eb="10">
      <t>フク</t>
    </rPh>
    <phoneticPr fontId="1"/>
  </si>
  <si>
    <t>うち満３歳児</t>
    <rPh sb="2" eb="3">
      <t>マン</t>
    </rPh>
    <rPh sb="4" eb="5">
      <t>サイ</t>
    </rPh>
    <rPh sb="5" eb="6">
      <t>ジ</t>
    </rPh>
    <phoneticPr fontId="1"/>
  </si>
  <si>
    <t>※</t>
    <phoneticPr fontId="1"/>
  </si>
  <si>
    <r>
      <t xml:space="preserve">各月平均の年齢別児童数を使用する場合は、別途配布している「年齢別児童数計算表」により計算した児童数を入力すること。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rPh sb="0" eb="2">
      <t>カクツキ</t>
    </rPh>
    <rPh sb="2" eb="4">
      <t>ヘイキン</t>
    </rPh>
    <rPh sb="5" eb="8">
      <t>ネンレイベツ</t>
    </rPh>
    <rPh sb="8" eb="11">
      <t>ジドウスウ</t>
    </rPh>
    <rPh sb="12" eb="14">
      <t>シヨウ</t>
    </rPh>
    <rPh sb="16" eb="18">
      <t>バアイ</t>
    </rPh>
    <rPh sb="20" eb="22">
      <t>ベット</t>
    </rPh>
    <rPh sb="22" eb="24">
      <t>ハイフ</t>
    </rPh>
    <rPh sb="29" eb="32">
      <t>ネンレイベツ</t>
    </rPh>
    <rPh sb="32" eb="35">
      <t>ジドウスウ</t>
    </rPh>
    <rPh sb="35" eb="37">
      <t>ケイサン</t>
    </rPh>
    <rPh sb="37" eb="38">
      <t>オモテ</t>
    </rPh>
    <rPh sb="42" eb="44">
      <t>ケイサン</t>
    </rPh>
    <rPh sb="46" eb="49">
      <t>ジドウスウ</t>
    </rPh>
    <rPh sb="50" eb="52">
      <t>ニュウリョク</t>
    </rPh>
    <phoneticPr fontId="1"/>
  </si>
  <si>
    <t>１．加算対象人数の基礎となる職員数（人）</t>
    <rPh sb="2" eb="4">
      <t>カサン</t>
    </rPh>
    <rPh sb="4" eb="6">
      <t>タイショウ</t>
    </rPh>
    <rPh sb="6" eb="8">
      <t>ニンズウ</t>
    </rPh>
    <rPh sb="9" eb="11">
      <t>キソ</t>
    </rPh>
    <rPh sb="14" eb="17">
      <t>ショクインスウ</t>
    </rPh>
    <rPh sb="18" eb="19">
      <t>ニン</t>
    </rPh>
    <phoneticPr fontId="1"/>
  </si>
  <si>
    <t>選択
項目</t>
    <rPh sb="0" eb="2">
      <t>センタク</t>
    </rPh>
    <rPh sb="3" eb="5">
      <t>コウモク</t>
    </rPh>
    <phoneticPr fontId="1"/>
  </si>
  <si>
    <t>入力
項目</t>
    <rPh sb="0" eb="2">
      <t>ニュウリョク</t>
    </rPh>
    <rPh sb="3" eb="5">
      <t>コウモク</t>
    </rPh>
    <phoneticPr fontId="1"/>
  </si>
  <si>
    <t>職員数
（自動計算）</t>
    <rPh sb="0" eb="3">
      <t>ショクインスウ</t>
    </rPh>
    <rPh sb="5" eb="7">
      <t>ジドウ</t>
    </rPh>
    <rPh sb="7" eb="9">
      <t>ケイサン</t>
    </rPh>
    <phoneticPr fontId="1"/>
  </si>
  <si>
    <t>ａ</t>
    <phoneticPr fontId="1"/>
  </si>
  <si>
    <t>年齢別配置基準による職員数（小数点第一位四捨五入）</t>
    <rPh sb="0" eb="3">
      <t>ネンレイベツ</t>
    </rPh>
    <rPh sb="3" eb="7">
      <t>ハイキ</t>
    </rPh>
    <rPh sb="10" eb="13">
      <t>ショクインスウ</t>
    </rPh>
    <phoneticPr fontId="1"/>
  </si>
  <si>
    <t>３歳児配置改善加算</t>
    <phoneticPr fontId="1"/>
  </si>
  <si>
    <t>あり</t>
  </si>
  <si>
    <t>満３歳児配置改善加算</t>
    <rPh sb="0" eb="1">
      <t>マン</t>
    </rPh>
    <rPh sb="2" eb="3">
      <t>サイ</t>
    </rPh>
    <rPh sb="3" eb="4">
      <t>ジ</t>
    </rPh>
    <rPh sb="4" eb="6">
      <t>ハイチ</t>
    </rPh>
    <rPh sb="6" eb="8">
      <t>カイゼン</t>
    </rPh>
    <rPh sb="8" eb="10">
      <t>カサン</t>
    </rPh>
    <phoneticPr fontId="1"/>
  </si>
  <si>
    <t>ｂ</t>
    <phoneticPr fontId="1"/>
  </si>
  <si>
    <t>講師配置加算</t>
    <rPh sb="0" eb="2">
      <t>コウシ</t>
    </rPh>
    <rPh sb="2" eb="4">
      <t>ハイチ</t>
    </rPh>
    <rPh sb="4" eb="6">
      <t>カサン</t>
    </rPh>
    <phoneticPr fontId="1"/>
  </si>
  <si>
    <t>ｃ</t>
    <phoneticPr fontId="1"/>
  </si>
  <si>
    <t>チーム保育加配加算</t>
    <rPh sb="3" eb="5">
      <t>ホイク</t>
    </rPh>
    <rPh sb="5" eb="7">
      <t>カハイ</t>
    </rPh>
    <rPh sb="7" eb="9">
      <t>カサン</t>
    </rPh>
    <phoneticPr fontId="1"/>
  </si>
  <si>
    <t>ｄ</t>
    <phoneticPr fontId="1"/>
  </si>
  <si>
    <t>通園送迎加算</t>
    <rPh sb="0" eb="2">
      <t>ツウエン</t>
    </rPh>
    <rPh sb="2" eb="4">
      <t>ソウゲイ</t>
    </rPh>
    <rPh sb="4" eb="6">
      <t>カサン</t>
    </rPh>
    <phoneticPr fontId="1"/>
  </si>
  <si>
    <t>ｅ</t>
    <phoneticPr fontId="1"/>
  </si>
  <si>
    <t>給食実施加算（自園調理に限る。）</t>
    <rPh sb="0" eb="2">
      <t>キュウショク</t>
    </rPh>
    <rPh sb="2" eb="4">
      <t>ジッシ</t>
    </rPh>
    <rPh sb="4" eb="6">
      <t>カサン</t>
    </rPh>
    <rPh sb="7" eb="8">
      <t>ジ</t>
    </rPh>
    <rPh sb="8" eb="9">
      <t>エン</t>
    </rPh>
    <rPh sb="9" eb="11">
      <t>チョウリ</t>
    </rPh>
    <rPh sb="12" eb="13">
      <t>カギ</t>
    </rPh>
    <phoneticPr fontId="1"/>
  </si>
  <si>
    <t>ｆ</t>
    <phoneticPr fontId="1"/>
  </si>
  <si>
    <t>主幹教諭等専任加算</t>
    <rPh sb="0" eb="2">
      <t>シュカン</t>
    </rPh>
    <rPh sb="2" eb="4">
      <t>キョウユ</t>
    </rPh>
    <rPh sb="4" eb="5">
      <t>トウ</t>
    </rPh>
    <rPh sb="5" eb="7">
      <t>センニン</t>
    </rPh>
    <rPh sb="7" eb="9">
      <t>カサン</t>
    </rPh>
    <phoneticPr fontId="1"/>
  </si>
  <si>
    <t>ｇ</t>
    <phoneticPr fontId="1"/>
  </si>
  <si>
    <t>事務職員配置加算</t>
    <rPh sb="0" eb="2">
      <t>ジム</t>
    </rPh>
    <rPh sb="2" eb="4">
      <t>ショクイン</t>
    </rPh>
    <rPh sb="4" eb="6">
      <t>ハイチ</t>
    </rPh>
    <rPh sb="6" eb="8">
      <t>カサン</t>
    </rPh>
    <phoneticPr fontId="1"/>
  </si>
  <si>
    <t>ｈ</t>
    <phoneticPr fontId="1"/>
  </si>
  <si>
    <t>指導充実加配加算</t>
    <rPh sb="0" eb="2">
      <t>シドウ</t>
    </rPh>
    <rPh sb="2" eb="4">
      <t>ジュウジツ</t>
    </rPh>
    <rPh sb="4" eb="6">
      <t>カハイ</t>
    </rPh>
    <rPh sb="6" eb="8">
      <t>カサン</t>
    </rPh>
    <phoneticPr fontId="1"/>
  </si>
  <si>
    <t>i</t>
    <phoneticPr fontId="1"/>
  </si>
  <si>
    <t>事務負担対応加配加算</t>
    <rPh sb="0" eb="2">
      <t>ジム</t>
    </rPh>
    <rPh sb="2" eb="4">
      <t>フタン</t>
    </rPh>
    <rPh sb="4" eb="6">
      <t>タイオウ</t>
    </rPh>
    <rPh sb="6" eb="8">
      <t>カハイ</t>
    </rPh>
    <rPh sb="8" eb="10">
      <t>カサン</t>
    </rPh>
    <phoneticPr fontId="1"/>
  </si>
  <si>
    <t>ｊ</t>
    <phoneticPr fontId="1"/>
  </si>
  <si>
    <t>栄養管理加算</t>
    <rPh sb="0" eb="2">
      <t>エイヨウ</t>
    </rPh>
    <rPh sb="2" eb="4">
      <t>カンリ</t>
    </rPh>
    <rPh sb="4" eb="6">
      <t>カサン</t>
    </rPh>
    <phoneticPr fontId="1"/>
  </si>
  <si>
    <t>k</t>
    <phoneticPr fontId="1"/>
  </si>
  <si>
    <t>副園長・教頭配置加算</t>
    <rPh sb="0" eb="3">
      <t>フクエンチョウ</t>
    </rPh>
    <rPh sb="4" eb="6">
      <t>キョウトウ</t>
    </rPh>
    <rPh sb="6" eb="8">
      <t>ハイチ</t>
    </rPh>
    <rPh sb="8" eb="10">
      <t>カサン</t>
    </rPh>
    <phoneticPr fontId="1"/>
  </si>
  <si>
    <t>ｌ</t>
    <phoneticPr fontId="1"/>
  </si>
  <si>
    <t>利用定員数に基づく職員数</t>
    <rPh sb="0" eb="2">
      <t>リヨウ</t>
    </rPh>
    <rPh sb="2" eb="5">
      <t>テイインスウ</t>
    </rPh>
    <rPh sb="6" eb="7">
      <t>モト</t>
    </rPh>
    <rPh sb="9" eb="12">
      <t>ショクインスウ</t>
    </rPh>
    <phoneticPr fontId="1"/>
  </si>
  <si>
    <t>合計</t>
    <rPh sb="0" eb="2">
      <t>ゴウケイ</t>
    </rPh>
    <phoneticPr fontId="1"/>
  </si>
  <si>
    <t>職員数（1人未満端数　四捨五入）</t>
    <rPh sb="0" eb="3">
      <t>ショクインスウ</t>
    </rPh>
    <rPh sb="5" eb="6">
      <t>ニン</t>
    </rPh>
    <rPh sb="6" eb="8">
      <t>ミマン</t>
    </rPh>
    <rPh sb="8" eb="10">
      <t>ハスウ</t>
    </rPh>
    <rPh sb="11" eb="15">
      <t>シシャゴニュウ</t>
    </rPh>
    <phoneticPr fontId="1"/>
  </si>
  <si>
    <t>※　基本分に含まれる事務職員等ー１（主幹教諭）</t>
    <rPh sb="2" eb="4">
      <t>キホン</t>
    </rPh>
    <rPh sb="4" eb="5">
      <t>ブン</t>
    </rPh>
    <rPh sb="6" eb="7">
      <t>フク</t>
    </rPh>
    <rPh sb="10" eb="12">
      <t>ジム</t>
    </rPh>
    <rPh sb="12" eb="14">
      <t>ショクイン</t>
    </rPh>
    <rPh sb="14" eb="15">
      <t>トウ</t>
    </rPh>
    <rPh sb="18" eb="20">
      <t>シュカン</t>
    </rPh>
    <rPh sb="20" eb="22">
      <t>キョウユ</t>
    </rPh>
    <phoneticPr fontId="1"/>
  </si>
  <si>
    <t>２．加算対象職員数（人）</t>
    <rPh sb="2" eb="4">
      <t>カサン</t>
    </rPh>
    <rPh sb="4" eb="6">
      <t>タイショウ</t>
    </rPh>
    <rPh sb="6" eb="8">
      <t>ショクイン</t>
    </rPh>
    <rPh sb="8" eb="9">
      <t>スウ</t>
    </rPh>
    <rPh sb="10" eb="11">
      <t>ニン</t>
    </rPh>
    <phoneticPr fontId="1"/>
  </si>
  <si>
    <t>人数A（職員数の１／３）</t>
    <phoneticPr fontId="1"/>
  </si>
  <si>
    <t>人数B（職員数の１／５）</t>
    <rPh sb="0" eb="2">
      <t>ニンズウ</t>
    </rPh>
    <rPh sb="4" eb="6">
      <t>ショクイン</t>
    </rPh>
    <rPh sb="6" eb="7">
      <t>スウ</t>
    </rPh>
    <phoneticPr fontId="1"/>
  </si>
  <si>
    <t>（参考）加算見込額（円）</t>
    <rPh sb="1" eb="3">
      <t>サンコウ</t>
    </rPh>
    <rPh sb="4" eb="6">
      <t>カサン</t>
    </rPh>
    <rPh sb="6" eb="8">
      <t>ミコ</t>
    </rPh>
    <rPh sb="8" eb="9">
      <t>ガク</t>
    </rPh>
    <rPh sb="10" eb="11">
      <t>エン</t>
    </rPh>
    <phoneticPr fontId="1"/>
  </si>
  <si>
    <t>×人数A</t>
    <phoneticPr fontId="1"/>
  </si>
  <si>
    <t>×人数B</t>
    <phoneticPr fontId="1"/>
  </si>
  <si>
    <t>合計</t>
    <phoneticPr fontId="1"/>
  </si>
  <si>
    <t>○○○保育所</t>
    <rPh sb="3" eb="6">
      <t>ホイクショ</t>
    </rPh>
    <phoneticPr fontId="1"/>
  </si>
  <si>
    <t>選択項目</t>
    <rPh sb="0" eb="2">
      <t>センタク</t>
    </rPh>
    <rPh sb="2" eb="4">
      <t>コウモク</t>
    </rPh>
    <phoneticPr fontId="1"/>
  </si>
  <si>
    <t>分園の有無</t>
    <rPh sb="0" eb="2">
      <t>ブンエン</t>
    </rPh>
    <rPh sb="3" eb="5">
      <t>ウム</t>
    </rPh>
    <phoneticPr fontId="1"/>
  </si>
  <si>
    <t>本園分を
記入</t>
    <rPh sb="0" eb="1">
      <t>ホン</t>
    </rPh>
    <rPh sb="1" eb="2">
      <t>エン</t>
    </rPh>
    <rPh sb="2" eb="3">
      <t>ブン</t>
    </rPh>
    <rPh sb="5" eb="7">
      <t>キニュウ</t>
    </rPh>
    <phoneticPr fontId="1"/>
  </si>
  <si>
    <t>年齢別児童数</t>
    <rPh sb="0" eb="3">
      <t>ネンレイベツ</t>
    </rPh>
    <rPh sb="3" eb="6">
      <t>ジドウスウ</t>
    </rPh>
    <phoneticPr fontId="1"/>
  </si>
  <si>
    <t>３歳児</t>
    <rPh sb="1" eb="2">
      <t>サイ</t>
    </rPh>
    <rPh sb="2" eb="3">
      <t>ジ</t>
    </rPh>
    <phoneticPr fontId="1"/>
  </si>
  <si>
    <t>１，２歳児</t>
    <rPh sb="3" eb="5">
      <t>サイジ</t>
    </rPh>
    <phoneticPr fontId="1"/>
  </si>
  <si>
    <t>０歳児</t>
    <rPh sb="1" eb="3">
      <t>サイジ</t>
    </rPh>
    <phoneticPr fontId="1"/>
  </si>
  <si>
    <t>本園分</t>
    <rPh sb="0" eb="1">
      <t>ホン</t>
    </rPh>
    <rPh sb="1" eb="2">
      <t>エン</t>
    </rPh>
    <rPh sb="2" eb="3">
      <t>ブン</t>
    </rPh>
    <phoneticPr fontId="1"/>
  </si>
  <si>
    <t>年齢別配置基準による職員数</t>
    <rPh sb="0" eb="3">
      <t>ネンレイベツ</t>
    </rPh>
    <rPh sb="3" eb="7">
      <t>ハイキ</t>
    </rPh>
    <rPh sb="10" eb="13">
      <t>ショクインスウ</t>
    </rPh>
    <phoneticPr fontId="1"/>
  </si>
  <si>
    <t>4歳以上児</t>
    <rPh sb="1" eb="4">
      <t>サイイジョウ</t>
    </rPh>
    <rPh sb="2" eb="4">
      <t>イジョウ</t>
    </rPh>
    <rPh sb="4" eb="5">
      <t>ジ</t>
    </rPh>
    <phoneticPr fontId="1"/>
  </si>
  <si>
    <t>3歳児</t>
    <rPh sb="1" eb="3">
      <t>サイジ</t>
    </rPh>
    <phoneticPr fontId="1"/>
  </si>
  <si>
    <t xml:space="preserve">  3歳児配置改善加算</t>
    <rPh sb="3" eb="5">
      <t>サイジ</t>
    </rPh>
    <rPh sb="5" eb="7">
      <t>ハイチ</t>
    </rPh>
    <rPh sb="7" eb="9">
      <t>カイゼン</t>
    </rPh>
    <rPh sb="9" eb="11">
      <t>カサン</t>
    </rPh>
    <phoneticPr fontId="1"/>
  </si>
  <si>
    <t>小計（小数点第一位四捨五入）</t>
    <rPh sb="0" eb="2">
      <t>ショウケイ</t>
    </rPh>
    <rPh sb="3" eb="6">
      <t>ショウスウテン</t>
    </rPh>
    <rPh sb="6" eb="7">
      <t>ダイ</t>
    </rPh>
    <rPh sb="7" eb="9">
      <t>イチイ</t>
    </rPh>
    <rPh sb="9" eb="13">
      <t>シシャゴニュウ</t>
    </rPh>
    <phoneticPr fontId="1"/>
  </si>
  <si>
    <t>保育標準時間認定の児童</t>
    <rPh sb="0" eb="2">
      <t>ホイク</t>
    </rPh>
    <rPh sb="2" eb="4">
      <t>ヒョウジュン</t>
    </rPh>
    <rPh sb="4" eb="6">
      <t>ジカン</t>
    </rPh>
    <rPh sb="6" eb="8">
      <t>ニンテイ</t>
    </rPh>
    <rPh sb="9" eb="11">
      <t>ジドウ</t>
    </rPh>
    <phoneticPr fontId="1"/>
  </si>
  <si>
    <t>主任保育士専任加算</t>
    <rPh sb="0" eb="2">
      <t>シュニン</t>
    </rPh>
    <rPh sb="2" eb="5">
      <t>ホイクシ</t>
    </rPh>
    <rPh sb="5" eb="7">
      <t>センニン</t>
    </rPh>
    <rPh sb="7" eb="9">
      <t>カサン</t>
    </rPh>
    <phoneticPr fontId="1"/>
  </si>
  <si>
    <t>休日保育加算</t>
    <rPh sb="0" eb="2">
      <t>キュウジツ</t>
    </rPh>
    <rPh sb="2" eb="4">
      <t>ホイク</t>
    </rPh>
    <rPh sb="4" eb="6">
      <t>カサン</t>
    </rPh>
    <phoneticPr fontId="1"/>
  </si>
  <si>
    <t>チーム保育推進加算</t>
    <rPh sb="3" eb="5">
      <t>ホイク</t>
    </rPh>
    <rPh sb="5" eb="7">
      <t>スイシン</t>
    </rPh>
    <rPh sb="7" eb="9">
      <t>カサン</t>
    </rPh>
    <phoneticPr fontId="1"/>
  </si>
  <si>
    <t>g</t>
    <phoneticPr fontId="1"/>
  </si>
  <si>
    <t>利用定員数に基づく職員数</t>
    <rPh sb="0" eb="2">
      <t>リヨウ</t>
    </rPh>
    <rPh sb="2" eb="4">
      <t>テイイン</t>
    </rPh>
    <rPh sb="4" eb="5">
      <t>スウ</t>
    </rPh>
    <rPh sb="6" eb="7">
      <t>モト</t>
    </rPh>
    <rPh sb="9" eb="12">
      <t>ショクインスウ</t>
    </rPh>
    <phoneticPr fontId="1"/>
  </si>
  <si>
    <t>円　×　人数A</t>
    <rPh sb="0" eb="1">
      <t>エン</t>
    </rPh>
    <rPh sb="4" eb="6">
      <t>ニンズウ</t>
    </rPh>
    <phoneticPr fontId="1"/>
  </si>
  <si>
    <t>円　×　人数B</t>
    <rPh sb="0" eb="1">
      <t>エン</t>
    </rPh>
    <rPh sb="4" eb="6">
      <t>ニンズウ</t>
    </rPh>
    <phoneticPr fontId="1"/>
  </si>
  <si>
    <t>合　計</t>
    <rPh sb="0" eb="1">
      <t>ア</t>
    </rPh>
    <rPh sb="2" eb="3">
      <t>ケイ</t>
    </rPh>
    <phoneticPr fontId="1"/>
  </si>
  <si>
    <t>○○○認定こども園</t>
    <rPh sb="3" eb="5">
      <t>ニン</t>
    </rPh>
    <phoneticPr fontId="1"/>
  </si>
  <si>
    <t>１号</t>
    <rPh sb="1" eb="2">
      <t>ゴウ</t>
    </rPh>
    <phoneticPr fontId="1"/>
  </si>
  <si>
    <t>２・３号</t>
    <rPh sb="3" eb="4">
      <t>ゴウ</t>
    </rPh>
    <phoneticPr fontId="1"/>
  </si>
  <si>
    <t>　うち満３歳児</t>
    <rPh sb="3" eb="4">
      <t>マン</t>
    </rPh>
    <rPh sb="5" eb="7">
      <t>サイジ</t>
    </rPh>
    <phoneticPr fontId="1"/>
  </si>
  <si>
    <t>１．加算対象人数の基礎となる職員数</t>
    <rPh sb="2" eb="4">
      <t>カサン</t>
    </rPh>
    <rPh sb="4" eb="6">
      <t>タイショウ</t>
    </rPh>
    <rPh sb="6" eb="8">
      <t>ニンズウ</t>
    </rPh>
    <rPh sb="9" eb="11">
      <t>キソ</t>
    </rPh>
    <rPh sb="14" eb="17">
      <t>ショクインスウ</t>
    </rPh>
    <phoneticPr fontId="1"/>
  </si>
  <si>
    <t>3歳児（満３歳児含む）</t>
    <rPh sb="1" eb="3">
      <t>サイジ</t>
    </rPh>
    <rPh sb="4" eb="5">
      <t>マン</t>
    </rPh>
    <rPh sb="6" eb="8">
      <t>サイジ</t>
    </rPh>
    <rPh sb="8" eb="9">
      <t>フク</t>
    </rPh>
    <phoneticPr fontId="1"/>
  </si>
  <si>
    <t>　３歳児配置改善加算</t>
    <phoneticPr fontId="1"/>
  </si>
  <si>
    <t>　満３歳児対応加配加算</t>
    <rPh sb="1" eb="2">
      <t>マン</t>
    </rPh>
    <rPh sb="3" eb="4">
      <t>サイ</t>
    </rPh>
    <rPh sb="4" eb="5">
      <t>ジ</t>
    </rPh>
    <rPh sb="5" eb="7">
      <t>タイオウ</t>
    </rPh>
    <rPh sb="7" eb="9">
      <t>カハイ</t>
    </rPh>
    <rPh sb="9" eb="11">
      <t>カサン</t>
    </rPh>
    <phoneticPr fontId="1"/>
  </si>
  <si>
    <t>b</t>
    <phoneticPr fontId="1"/>
  </si>
  <si>
    <t>休けい保育教諭</t>
    <rPh sb="0" eb="1">
      <t>キュウ</t>
    </rPh>
    <rPh sb="3" eb="5">
      <t>ホイク</t>
    </rPh>
    <rPh sb="5" eb="7">
      <t>キョウユ</t>
    </rPh>
    <phoneticPr fontId="1"/>
  </si>
  <si>
    <t>調理員</t>
    <rPh sb="0" eb="3">
      <t>チョウリイン</t>
    </rPh>
    <phoneticPr fontId="1"/>
  </si>
  <si>
    <t>d</t>
    <phoneticPr fontId="1"/>
  </si>
  <si>
    <t>e</t>
    <phoneticPr fontId="1"/>
  </si>
  <si>
    <t>学級編制調整加配加算</t>
    <rPh sb="0" eb="2">
      <t>ガッキュウ</t>
    </rPh>
    <rPh sb="2" eb="4">
      <t>ヘンセイ</t>
    </rPh>
    <rPh sb="4" eb="6">
      <t>チョウセイ</t>
    </rPh>
    <rPh sb="6" eb="8">
      <t>カハイ</t>
    </rPh>
    <rPh sb="8" eb="10">
      <t>カサン</t>
    </rPh>
    <phoneticPr fontId="1"/>
  </si>
  <si>
    <t>f</t>
    <phoneticPr fontId="1"/>
  </si>
  <si>
    <t>h</t>
    <phoneticPr fontId="1"/>
  </si>
  <si>
    <t>給食実施加算（自園調理に限る。）</t>
    <rPh sb="0" eb="2">
      <t>キュウショク</t>
    </rPh>
    <rPh sb="2" eb="4">
      <t>ジッシ</t>
    </rPh>
    <rPh sb="4" eb="6">
      <t>カサン</t>
    </rPh>
    <phoneticPr fontId="1"/>
  </si>
  <si>
    <t>j</t>
  </si>
  <si>
    <t>k</t>
  </si>
  <si>
    <t>l</t>
  </si>
  <si>
    <t>m</t>
  </si>
  <si>
    <t>n</t>
    <phoneticPr fontId="1"/>
  </si>
  <si>
    <t>o</t>
    <phoneticPr fontId="1"/>
  </si>
  <si>
    <t>p</t>
    <phoneticPr fontId="1"/>
  </si>
  <si>
    <t>該当</t>
  </si>
  <si>
    <t>q</t>
    <phoneticPr fontId="1"/>
  </si>
  <si>
    <t>年齢別配置基準を下回る場合</t>
    <rPh sb="0" eb="3">
      <t>ネンレイベツ</t>
    </rPh>
    <rPh sb="3" eb="7">
      <t>ハイキ</t>
    </rPh>
    <rPh sb="8" eb="10">
      <t>シタマワ</t>
    </rPh>
    <rPh sb="11" eb="13">
      <t>バアイ</t>
    </rPh>
    <phoneticPr fontId="1"/>
  </si>
  <si>
    <r>
      <t>４歳以上児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4">
      <t>サイイジョウ</t>
    </rPh>
    <rPh sb="4" eb="5">
      <t>ジ</t>
    </rPh>
    <rPh sb="6" eb="8">
      <t>トクレイ</t>
    </rPh>
    <rPh sb="8" eb="10">
      <t>キュウフ</t>
    </rPh>
    <rPh sb="10" eb="12">
      <t>タイショウ</t>
    </rPh>
    <rPh sb="12" eb="14">
      <t>ジドウ</t>
    </rPh>
    <rPh sb="17" eb="20">
      <t>ショウガイジ</t>
    </rPh>
    <rPh sb="20" eb="22">
      <t>ホイク</t>
    </rPh>
    <rPh sb="22" eb="24">
      <t>カサン</t>
    </rPh>
    <rPh sb="27" eb="29">
      <t>バアイ</t>
    </rPh>
    <rPh sb="29" eb="32">
      <t>ショウガイジ</t>
    </rPh>
    <rPh sb="33" eb="34">
      <t>ノゾ</t>
    </rPh>
    <rPh sb="36" eb="37">
      <t>カズ</t>
    </rPh>
    <phoneticPr fontId="25"/>
  </si>
  <si>
    <r>
      <t>３歳児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3">
      <t>サイジ</t>
    </rPh>
    <rPh sb="4" eb="6">
      <t>トクレイ</t>
    </rPh>
    <rPh sb="6" eb="8">
      <t>キュウフ</t>
    </rPh>
    <rPh sb="8" eb="10">
      <t>タイショウ</t>
    </rPh>
    <rPh sb="10" eb="12">
      <t>ジドウ</t>
    </rPh>
    <rPh sb="15" eb="18">
      <t>ショウガイジ</t>
    </rPh>
    <rPh sb="18" eb="20">
      <t>ホイク</t>
    </rPh>
    <rPh sb="20" eb="22">
      <t>カサン</t>
    </rPh>
    <rPh sb="25" eb="27">
      <t>バアイ</t>
    </rPh>
    <rPh sb="27" eb="30">
      <t>ショウガイジ</t>
    </rPh>
    <rPh sb="31" eb="32">
      <t>ノゾ</t>
    </rPh>
    <rPh sb="34" eb="35">
      <t>カズ</t>
    </rPh>
    <phoneticPr fontId="25"/>
  </si>
  <si>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25"/>
  </si>
  <si>
    <r>
      <t xml:space="preserve">０歳児
</t>
    </r>
    <r>
      <rPr>
        <sz val="10"/>
        <color theme="1"/>
        <rFont val="HG丸ｺﾞｼｯｸM-PRO"/>
        <family val="3"/>
        <charset val="128"/>
      </rPr>
      <t>※障害児保育加算ありの場合障害児を除いた数</t>
    </r>
    <rPh sb="1" eb="3">
      <t>サイジ</t>
    </rPh>
    <phoneticPr fontId="1"/>
  </si>
  <si>
    <t>障害児（障害児保育加算ありの場合）</t>
    <rPh sb="0" eb="3">
      <t>ショウガイジ</t>
    </rPh>
    <rPh sb="4" eb="7">
      <t>ショウガイジ</t>
    </rPh>
    <rPh sb="7" eb="9">
      <t>ホイク</t>
    </rPh>
    <rPh sb="9" eb="11">
      <t>カサン</t>
    </rPh>
    <rPh sb="14" eb="16">
      <t>バアイ</t>
    </rPh>
    <phoneticPr fontId="1"/>
  </si>
  <si>
    <t>調整</t>
    <rPh sb="0" eb="2">
      <t>チョウセイ</t>
    </rPh>
    <phoneticPr fontId="1"/>
  </si>
  <si>
    <t>食事の提供について自園調理又は連携施設
からの搬入以外に方法による減算</t>
    <rPh sb="0" eb="2">
      <t>ショクジ</t>
    </rPh>
    <rPh sb="3" eb="5">
      <t>テイキョウ</t>
    </rPh>
    <rPh sb="9" eb="10">
      <t>ジ</t>
    </rPh>
    <rPh sb="10" eb="11">
      <t>エン</t>
    </rPh>
    <rPh sb="11" eb="13">
      <t>チョウリ</t>
    </rPh>
    <rPh sb="13" eb="14">
      <t>マタ</t>
    </rPh>
    <rPh sb="15" eb="17">
      <t>レンケイ</t>
    </rPh>
    <rPh sb="17" eb="19">
      <t>シセツ</t>
    </rPh>
    <rPh sb="23" eb="25">
      <t>ハンニュウ</t>
    </rPh>
    <rPh sb="25" eb="27">
      <t>イガイ</t>
    </rPh>
    <rPh sb="28" eb="30">
      <t>ホウホウ</t>
    </rPh>
    <rPh sb="33" eb="35">
      <t>ゲンサン</t>
    </rPh>
    <phoneticPr fontId="1"/>
  </si>
  <si>
    <t>加算</t>
    <rPh sb="0" eb="2">
      <t>カサン</t>
    </rPh>
    <phoneticPr fontId="1"/>
  </si>
  <si>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1"/>
  </si>
  <si>
    <t>なし</t>
  </si>
  <si>
    <t>利用定員数に基づく職員数</t>
  </si>
  <si>
    <t>障害児保育加算</t>
    <rPh sb="0" eb="3">
      <t>ショウガイジ</t>
    </rPh>
    <rPh sb="3" eb="5">
      <t>ホイク</t>
    </rPh>
    <rPh sb="5" eb="7">
      <t>カサン</t>
    </rPh>
    <phoneticPr fontId="1"/>
  </si>
  <si>
    <t xml:space="preserve"> グループの利用子ども数（障害児除く）</t>
    <rPh sb="6" eb="8">
      <t>リヨウ</t>
    </rPh>
    <rPh sb="8" eb="9">
      <t>コ</t>
    </rPh>
    <rPh sb="11" eb="12">
      <t>スウ</t>
    </rPh>
    <rPh sb="13" eb="16">
      <t>ショウガイジ</t>
    </rPh>
    <rPh sb="16" eb="17">
      <t>ノゾ</t>
    </rPh>
    <phoneticPr fontId="1"/>
  </si>
  <si>
    <t xml:space="preserve"> 障害児</t>
    <rPh sb="1" eb="4">
      <t>ショウガイジ</t>
    </rPh>
    <phoneticPr fontId="1"/>
  </si>
  <si>
    <t>4歳以上児配置改善加算</t>
    <rPh sb="1" eb="4">
      <t>サイイジョウ</t>
    </rPh>
    <rPh sb="4" eb="5">
      <t>ジ</t>
    </rPh>
    <rPh sb="5" eb="7">
      <t>ハイチ</t>
    </rPh>
    <rPh sb="7" eb="9">
      <t>カイゼン</t>
    </rPh>
    <rPh sb="9" eb="11">
      <t>カサン</t>
    </rPh>
    <phoneticPr fontId="1"/>
  </si>
  <si>
    <t xml:space="preserve">  4歳以上児配置改善加算</t>
    <rPh sb="4" eb="6">
      <t>イジョウ</t>
    </rPh>
    <phoneticPr fontId="1"/>
  </si>
  <si>
    <t>　４歳以上児配置改善加算</t>
    <rPh sb="3" eb="5">
      <t>イジョウ</t>
    </rPh>
    <rPh sb="5" eb="6">
      <t>ジ</t>
    </rPh>
    <phoneticPr fontId="1"/>
  </si>
  <si>
    <t>分園分</t>
    <phoneticPr fontId="1"/>
  </si>
  <si>
    <t>　１歳児配置改善加算</t>
    <phoneticPr fontId="1"/>
  </si>
  <si>
    <t>　うち１歳児</t>
    <rPh sb="4" eb="6">
      <t>サイジ</t>
    </rPh>
    <phoneticPr fontId="1"/>
  </si>
  <si>
    <t xml:space="preserve">  1歳児配置改善加算</t>
    <rPh sb="3" eb="5">
      <t>サイジ</t>
    </rPh>
    <rPh sb="5" eb="7">
      <t>ハイチ</t>
    </rPh>
    <rPh sb="7" eb="9">
      <t>カイゼン</t>
    </rPh>
    <rPh sb="9" eb="11">
      <t>カサン</t>
    </rPh>
    <phoneticPr fontId="1"/>
  </si>
  <si>
    <t>実人数</t>
    <rPh sb="0" eb="3">
      <t>ジツニンズウ</t>
    </rPh>
    <phoneticPr fontId="1"/>
  </si>
  <si>
    <t>算定人数</t>
    <rPh sb="0" eb="2">
      <t>サンテイ</t>
    </rPh>
    <rPh sb="2" eb="4">
      <t>ニンズウ</t>
    </rPh>
    <phoneticPr fontId="1"/>
  </si>
  <si>
    <t>処遇改善等加算区分３　加算算定対象人数計算表（幼稚園）</t>
    <rPh sb="0" eb="2">
      <t>ショグウ</t>
    </rPh>
    <rPh sb="2" eb="4">
      <t>カイゼン</t>
    </rPh>
    <rPh sb="4" eb="5">
      <t>トウ</t>
    </rPh>
    <rPh sb="5" eb="7">
      <t>カサン</t>
    </rPh>
    <rPh sb="7" eb="9">
      <t>クブン</t>
    </rPh>
    <rPh sb="11" eb="13">
      <t>カサン</t>
    </rPh>
    <rPh sb="13" eb="15">
      <t>サンテイ</t>
    </rPh>
    <rPh sb="15" eb="17">
      <t>タイショウ</t>
    </rPh>
    <rPh sb="17" eb="19">
      <t>ニンズウ</t>
    </rPh>
    <rPh sb="19" eb="21">
      <t>ケイサン</t>
    </rPh>
    <rPh sb="21" eb="22">
      <t>オモテ</t>
    </rPh>
    <rPh sb="23" eb="26">
      <t>ヨウチエン</t>
    </rPh>
    <phoneticPr fontId="1"/>
  </si>
  <si>
    <r>
      <t>年齢別配置基準</t>
    </r>
    <r>
      <rPr>
        <sz val="11"/>
        <rFont val="HG丸ｺﾞｼｯｸM-PRO"/>
        <family val="3"/>
        <charset val="128"/>
      </rPr>
      <t>を下回る場合</t>
    </r>
    <rPh sb="0" eb="2">
      <t>ネンレイ</t>
    </rPh>
    <rPh sb="2" eb="3">
      <t>ベツ</t>
    </rPh>
    <rPh sb="3" eb="5">
      <t>ハイチ</t>
    </rPh>
    <rPh sb="5" eb="7">
      <t>キジュン</t>
    </rPh>
    <phoneticPr fontId="1"/>
  </si>
  <si>
    <t>２．加算算定対象人数（人）</t>
    <rPh sb="2" eb="4">
      <t>カサン</t>
    </rPh>
    <rPh sb="4" eb="6">
      <t>サンテイ</t>
    </rPh>
    <rPh sb="6" eb="8">
      <t>タイショウ</t>
    </rPh>
    <rPh sb="8" eb="10">
      <t>ニンズウ</t>
    </rPh>
    <rPh sb="11" eb="12">
      <t>ニン</t>
    </rPh>
    <phoneticPr fontId="1"/>
  </si>
  <si>
    <t>処遇改善等加算区分３　加算算定対象人数計算表（保育所）</t>
    <rPh sb="0" eb="2">
      <t>ショグウ</t>
    </rPh>
    <rPh sb="2" eb="5">
      <t>カイゼンナド</t>
    </rPh>
    <rPh sb="5" eb="7">
      <t>カサン</t>
    </rPh>
    <rPh sb="7" eb="9">
      <t>クブン</t>
    </rPh>
    <rPh sb="11" eb="13">
      <t>カサン</t>
    </rPh>
    <rPh sb="13" eb="15">
      <t>サンテイ</t>
    </rPh>
    <rPh sb="15" eb="17">
      <t>タイショウ</t>
    </rPh>
    <rPh sb="17" eb="19">
      <t>ニンズウ</t>
    </rPh>
    <rPh sb="19" eb="21">
      <t>ケイサン</t>
    </rPh>
    <rPh sb="21" eb="22">
      <t>ヒョウ</t>
    </rPh>
    <rPh sb="22" eb="24">
      <t>ケイサン</t>
    </rPh>
    <rPh sb="24" eb="25">
      <t>オモテホイクショ</t>
    </rPh>
    <phoneticPr fontId="1"/>
  </si>
  <si>
    <r>
      <t>保育標準時間認定の</t>
    </r>
    <r>
      <rPr>
        <sz val="11"/>
        <rFont val="HG丸ｺﾞｼｯｸM-PRO"/>
        <family val="3"/>
        <charset val="128"/>
      </rPr>
      <t>子ども</t>
    </r>
    <rPh sb="0" eb="2">
      <t>ホイク</t>
    </rPh>
    <rPh sb="2" eb="4">
      <t>ヒョウジュン</t>
    </rPh>
    <rPh sb="4" eb="6">
      <t>ジカン</t>
    </rPh>
    <rPh sb="6" eb="8">
      <t>ニンテイ</t>
    </rPh>
    <rPh sb="9" eb="10">
      <t>コ</t>
    </rPh>
    <phoneticPr fontId="1"/>
  </si>
  <si>
    <t>事務職員雇上費加算</t>
    <rPh sb="0" eb="2">
      <t>ジム</t>
    </rPh>
    <rPh sb="2" eb="4">
      <t>ショクイン</t>
    </rPh>
    <rPh sb="4" eb="5">
      <t>ヤト</t>
    </rPh>
    <rPh sb="5" eb="6">
      <t>ア</t>
    </rPh>
    <rPh sb="6" eb="7">
      <t>ヒ</t>
    </rPh>
    <rPh sb="7" eb="9">
      <t>カサン</t>
    </rPh>
    <phoneticPr fontId="1"/>
  </si>
  <si>
    <t>処遇改善等加算区分３　加算算定対象人数計算表（認定こども園）</t>
    <rPh sb="0" eb="2">
      <t>ショグウ</t>
    </rPh>
    <rPh sb="2" eb="4">
      <t>カイゼン</t>
    </rPh>
    <rPh sb="4" eb="5">
      <t>トウ</t>
    </rPh>
    <rPh sb="5" eb="7">
      <t>カサン</t>
    </rPh>
    <rPh sb="11" eb="13">
      <t>カサン</t>
    </rPh>
    <rPh sb="13" eb="15">
      <t>サンテイ</t>
    </rPh>
    <rPh sb="15" eb="17">
      <t>タイショウ</t>
    </rPh>
    <rPh sb="17" eb="19">
      <t>ニンズウ</t>
    </rPh>
    <rPh sb="19" eb="21">
      <t>ケイサン</t>
    </rPh>
    <rPh sb="21" eb="22">
      <t>ヒョウ</t>
    </rPh>
    <rPh sb="23" eb="25">
      <t>ニン</t>
    </rPh>
    <phoneticPr fontId="1"/>
  </si>
  <si>
    <t>主幹保育教諭等の専任化により子育て支援の取組を実施していない場合であって、代替保育教諭等を配置していない場合</t>
    <rPh sb="0" eb="2">
      <t>シュカン</t>
    </rPh>
    <rPh sb="2" eb="4">
      <t>ホイク</t>
    </rPh>
    <rPh sb="4" eb="6">
      <t>キョウユ</t>
    </rPh>
    <rPh sb="6" eb="7">
      <t>トウ</t>
    </rPh>
    <rPh sb="8" eb="10">
      <t>センニン</t>
    </rPh>
    <rPh sb="10" eb="11">
      <t>カ</t>
    </rPh>
    <rPh sb="14" eb="17">
      <t>コソ</t>
    </rPh>
    <rPh sb="17" eb="19">
      <t>シエン</t>
    </rPh>
    <rPh sb="20" eb="22">
      <t>トリクミ</t>
    </rPh>
    <rPh sb="23" eb="25">
      <t>ジッシ</t>
    </rPh>
    <rPh sb="30" eb="32">
      <t>バアイ</t>
    </rPh>
    <rPh sb="37" eb="39">
      <t>ダイタイ</t>
    </rPh>
    <rPh sb="39" eb="41">
      <t>ホイク</t>
    </rPh>
    <rPh sb="41" eb="43">
      <t>キョウユ</t>
    </rPh>
    <rPh sb="43" eb="44">
      <t>トウ</t>
    </rPh>
    <rPh sb="45" eb="47">
      <t>ハイチ</t>
    </rPh>
    <rPh sb="52" eb="54">
      <t>バアイ</t>
    </rPh>
    <phoneticPr fontId="1"/>
  </si>
  <si>
    <t>処遇改善等加算区分３　加算算定対象人数計算表</t>
    <rPh sb="0" eb="2">
      <t>ショグウ</t>
    </rPh>
    <rPh sb="2" eb="4">
      <t>カイゼン</t>
    </rPh>
    <rPh sb="4" eb="5">
      <t>トウ</t>
    </rPh>
    <rPh sb="5" eb="7">
      <t>カサン</t>
    </rPh>
    <rPh sb="11" eb="13">
      <t>カサン</t>
    </rPh>
    <rPh sb="13" eb="15">
      <t>サンテイ</t>
    </rPh>
    <rPh sb="15" eb="17">
      <t>タイショウ</t>
    </rPh>
    <rPh sb="17" eb="19">
      <t>ニンズウ</t>
    </rPh>
    <rPh sb="19" eb="21">
      <t>ケイサン</t>
    </rPh>
    <rPh sb="21" eb="22">
      <t>ヒョウ</t>
    </rPh>
    <phoneticPr fontId="1"/>
  </si>
  <si>
    <t>（小規模保育事業A型、Ｂ型）</t>
    <rPh sb="6" eb="8">
      <t>ジギョウ</t>
    </rPh>
    <phoneticPr fontId="1"/>
  </si>
  <si>
    <t>（事業所内保育事業　定員６人以上　小規模A型、Ｂ型適用）</t>
    <rPh sb="1" eb="4">
      <t>ジギョウショ</t>
    </rPh>
    <rPh sb="4" eb="5">
      <t>ナイ</t>
    </rPh>
    <rPh sb="10" eb="12">
      <t>テイイン</t>
    </rPh>
    <rPh sb="13" eb="14">
      <t>ニン</t>
    </rPh>
    <rPh sb="14" eb="16">
      <t>イジョウ</t>
    </rPh>
    <rPh sb="17" eb="20">
      <t>ショウキボ</t>
    </rPh>
    <rPh sb="25" eb="27">
      <t>テキヨウ</t>
    </rPh>
    <phoneticPr fontId="1"/>
  </si>
  <si>
    <t xml:space="preserve">  1歳児配置改善加算
※障害児保育加算ありの場合障害児を除いた数</t>
    <rPh sb="3" eb="5">
      <t>サイジ</t>
    </rPh>
    <rPh sb="5" eb="7">
      <t>ハイチ</t>
    </rPh>
    <rPh sb="7" eb="9">
      <t>カイゼン</t>
    </rPh>
    <rPh sb="9" eb="11">
      <t>カサン</t>
    </rPh>
    <phoneticPr fontId="1"/>
  </si>
  <si>
    <t>保育標準時間認定の子ども</t>
    <rPh sb="0" eb="2">
      <t>ホイク</t>
    </rPh>
    <rPh sb="2" eb="4">
      <t>ヒョウジュン</t>
    </rPh>
    <rPh sb="4" eb="6">
      <t>ジカン</t>
    </rPh>
    <rPh sb="6" eb="8">
      <t>ニンテイ</t>
    </rPh>
    <rPh sb="9" eb="10">
      <t>コ</t>
    </rPh>
    <phoneticPr fontId="1"/>
  </si>
  <si>
    <t>（事業所内保育事業　定員２０人以上）</t>
    <rPh sb="1" eb="4">
      <t>ジギョウショ</t>
    </rPh>
    <rPh sb="4" eb="5">
      <t>ナイ</t>
    </rPh>
    <rPh sb="10" eb="12">
      <t>テイイン</t>
    </rPh>
    <rPh sb="14" eb="17">
      <t>ニンイジョウ</t>
    </rPh>
    <phoneticPr fontId="1"/>
  </si>
  <si>
    <t>（小規模保育事業Ｃ型）</t>
    <phoneticPr fontId="1"/>
  </si>
  <si>
    <r>
      <t>利用子ども数</t>
    </r>
    <r>
      <rPr>
        <sz val="11"/>
        <color rgb="FFFF0000"/>
        <rFont val="HG丸ｺﾞｼｯｸM-PRO"/>
        <family val="3"/>
        <charset val="128"/>
      </rPr>
      <t>（特例給付対象児童含む）</t>
    </r>
    <rPh sb="0" eb="3">
      <t>リヨウコ</t>
    </rPh>
    <phoneticPr fontId="1"/>
  </si>
  <si>
    <t>　家庭的保育補助者配置</t>
    <rPh sb="1" eb="4">
      <t>カテイテキ</t>
    </rPh>
    <rPh sb="4" eb="6">
      <t>ホイク</t>
    </rPh>
    <rPh sb="6" eb="9">
      <t>ホジョシャ</t>
    </rPh>
    <rPh sb="9" eb="11">
      <t>ハイチ</t>
    </rPh>
    <phoneticPr fontId="1"/>
  </si>
  <si>
    <t>　</t>
    <phoneticPr fontId="1"/>
  </si>
  <si>
    <t>区分①②③加算額（概算値）を算出しよう！！　（使用に関しては自己責任）</t>
    <rPh sb="0" eb="2">
      <t>クブン</t>
    </rPh>
    <rPh sb="5" eb="7">
      <t>カサン</t>
    </rPh>
    <rPh sb="9" eb="12">
      <t>ガイサンチ</t>
    </rPh>
    <rPh sb="14" eb="16">
      <t>サンシュツ</t>
    </rPh>
    <rPh sb="23" eb="25">
      <t>シヨウ</t>
    </rPh>
    <rPh sb="26" eb="27">
      <t>カン</t>
    </rPh>
    <rPh sb="30" eb="32">
      <t>ジコ</t>
    </rPh>
    <rPh sb="32" eb="34">
      <t>セキニン</t>
    </rPh>
    <phoneticPr fontId="1"/>
  </si>
  <si>
    <t>試算の前に準備すること</t>
    <phoneticPr fontId="1"/>
  </si>
  <si>
    <t>（ア）公定価格表（地域区分と定員による単価を把握する）</t>
    <rPh sb="3" eb="5">
      <t>コウテイ</t>
    </rPh>
    <rPh sb="5" eb="7">
      <t>カカク</t>
    </rPh>
    <rPh sb="7" eb="8">
      <t>ヒョウ</t>
    </rPh>
    <rPh sb="9" eb="13">
      <t>チイキクブン</t>
    </rPh>
    <rPh sb="14" eb="16">
      <t>テイイン</t>
    </rPh>
    <rPh sb="19" eb="21">
      <t>タンカ</t>
    </rPh>
    <rPh sb="22" eb="24">
      <t>ハアク</t>
    </rPh>
    <phoneticPr fontId="1"/>
  </si>
  <si>
    <t>（イ）年齢ごとの子ども数（標準、短時間）</t>
    <rPh sb="3" eb="5">
      <t>ネンレイ</t>
    </rPh>
    <rPh sb="8" eb="9">
      <t>コ</t>
    </rPh>
    <rPh sb="11" eb="12">
      <t>スウ</t>
    </rPh>
    <rPh sb="13" eb="15">
      <t>ヒョウジュン</t>
    </rPh>
    <rPh sb="16" eb="19">
      <t>タンジカン</t>
    </rPh>
    <phoneticPr fontId="1"/>
  </si>
  <si>
    <t>（ウ）加算の取り組み状況</t>
    <rPh sb="3" eb="5">
      <t>カサン</t>
    </rPh>
    <rPh sb="6" eb="7">
      <t>ト</t>
    </rPh>
    <rPh sb="8" eb="9">
      <t>ク</t>
    </rPh>
    <rPh sb="10" eb="12">
      <t>ジョウキョウ</t>
    </rPh>
    <phoneticPr fontId="1"/>
  </si>
  <si>
    <t>（エ）職員の平均経験年数（区分１，区分２）　→　加算率 a と b を決定</t>
    <rPh sb="3" eb="5">
      <t>ショクイン</t>
    </rPh>
    <rPh sb="6" eb="12">
      <t>ヘイキンケイケンネンスウ</t>
    </rPh>
    <rPh sb="13" eb="15">
      <t>クブン</t>
    </rPh>
    <rPh sb="17" eb="19">
      <t>クブン</t>
    </rPh>
    <rPh sb="24" eb="27">
      <t>カサンリツ</t>
    </rPh>
    <rPh sb="35" eb="37">
      <t>ケッテイ</t>
    </rPh>
    <phoneticPr fontId="1"/>
  </si>
  <si>
    <t>（オ）加算算定対象人数（区分３）　→　AとBの人数を決定</t>
    <rPh sb="3" eb="5">
      <t>カサン</t>
    </rPh>
    <rPh sb="5" eb="7">
      <t>サンテイ</t>
    </rPh>
    <rPh sb="7" eb="9">
      <t>タイショウ</t>
    </rPh>
    <rPh sb="9" eb="11">
      <t>ニンズウ</t>
    </rPh>
    <rPh sb="11" eb="12">
      <t>インズウ</t>
    </rPh>
    <rPh sb="12" eb="14">
      <t>クブン</t>
    </rPh>
    <rPh sb="23" eb="25">
      <t>ニンズウ</t>
    </rPh>
    <rPh sb="26" eb="28">
      <t>ケッテイ</t>
    </rPh>
    <phoneticPr fontId="1"/>
  </si>
  <si>
    <t>では</t>
    <phoneticPr fontId="1"/>
  </si>
  <si>
    <t>の枠に数値を入力してみよう！！</t>
    <rPh sb="1" eb="2">
      <t>ワク</t>
    </rPh>
    <rPh sb="3" eb="5">
      <t>スウチ</t>
    </rPh>
    <rPh sb="6" eb="8">
      <t>ニュウリョク</t>
    </rPh>
    <phoneticPr fontId="1"/>
  </si>
  <si>
    <t>加算額の概算値の試算例（認定こども園）</t>
    <rPh sb="0" eb="3">
      <t>カサンガク</t>
    </rPh>
    <rPh sb="4" eb="7">
      <t>ガイサンチ</t>
    </rPh>
    <rPh sb="8" eb="11">
      <t>シサンレイ</t>
    </rPh>
    <rPh sb="12" eb="14">
      <t>ニンテイ</t>
    </rPh>
    <rPh sb="17" eb="18">
      <t>エン</t>
    </rPh>
    <phoneticPr fontId="1"/>
  </si>
  <si>
    <t>※加算項目が足りないときは適宜、行を追加して下さい</t>
    <rPh sb="1" eb="3">
      <t>カサン</t>
    </rPh>
    <rPh sb="3" eb="5">
      <t>コウモク</t>
    </rPh>
    <rPh sb="6" eb="7">
      <t>タ</t>
    </rPh>
    <rPh sb="13" eb="15">
      <t>テキギ</t>
    </rPh>
    <rPh sb="16" eb="17">
      <t>ギョウ</t>
    </rPh>
    <rPh sb="18" eb="20">
      <t>ツイカ</t>
    </rPh>
    <rPh sb="22" eb="23">
      <t>クダ</t>
    </rPh>
    <phoneticPr fontId="1"/>
  </si>
  <si>
    <t>令和7年度</t>
    <rPh sb="0" eb="2">
      <t>レイワ</t>
    </rPh>
    <rPh sb="3" eb="5">
      <t>ネンド</t>
    </rPh>
    <phoneticPr fontId="1"/>
  </si>
  <si>
    <t>月</t>
    <rPh sb="0" eb="1">
      <t>ツキ</t>
    </rPh>
    <phoneticPr fontId="1"/>
  </si>
  <si>
    <t>地域
区分</t>
    <rPh sb="0" eb="2">
      <t>チイキ</t>
    </rPh>
    <rPh sb="3" eb="5">
      <t>クブン</t>
    </rPh>
    <phoneticPr fontId="1"/>
  </si>
  <si>
    <t>その
他</t>
    <rPh sb="3" eb="4">
      <t>タ</t>
    </rPh>
    <phoneticPr fontId="1"/>
  </si>
  <si>
    <t>定員</t>
    <rPh sb="0" eb="2">
      <t>テイイン</t>
    </rPh>
    <phoneticPr fontId="1"/>
  </si>
  <si>
    <t>区分３の人数</t>
    <rPh sb="0" eb="2">
      <t>クブン</t>
    </rPh>
    <rPh sb="4" eb="6">
      <t>ニンズウ</t>
    </rPh>
    <phoneticPr fontId="1"/>
  </si>
  <si>
    <t>現員</t>
    <rPh sb="0" eb="2">
      <t>ゲンイン</t>
    </rPh>
    <phoneticPr fontId="1"/>
  </si>
  <si>
    <t>Ａ</t>
    <phoneticPr fontId="1"/>
  </si>
  <si>
    <t>Ｂ</t>
    <phoneticPr fontId="1"/>
  </si>
  <si>
    <t>認定</t>
    <rPh sb="0" eb="2">
      <t>ニンテイ</t>
    </rPh>
    <phoneticPr fontId="1"/>
  </si>
  <si>
    <t>年齢区分</t>
    <rPh sb="0" eb="4">
      <t>ネンレイクブン</t>
    </rPh>
    <phoneticPr fontId="1"/>
  </si>
  <si>
    <t>単価</t>
    <rPh sb="0" eb="2">
      <t>タンカ</t>
    </rPh>
    <phoneticPr fontId="1"/>
  </si>
  <si>
    <t>(a)</t>
    <phoneticPr fontId="1"/>
  </si>
  <si>
    <t>(b)</t>
    <phoneticPr fontId="1"/>
  </si>
  <si>
    <t>(c)</t>
    <phoneticPr fontId="1"/>
  </si>
  <si>
    <t>子ども数</t>
    <rPh sb="0" eb="1">
      <t>コ</t>
    </rPh>
    <rPh sb="3" eb="4">
      <t>スウ</t>
    </rPh>
    <phoneticPr fontId="1"/>
  </si>
  <si>
    <t>区分１(a)</t>
    <rPh sb="0" eb="2">
      <t>クブン</t>
    </rPh>
    <phoneticPr fontId="1"/>
  </si>
  <si>
    <t>区分２(b)</t>
    <rPh sb="0" eb="2">
      <t>クブン</t>
    </rPh>
    <phoneticPr fontId="1"/>
  </si>
  <si>
    <t>区分２(c)</t>
    <rPh sb="0" eb="2">
      <t>クブン</t>
    </rPh>
    <phoneticPr fontId="1"/>
  </si>
  <si>
    <t>区分３</t>
    <rPh sb="0" eb="2">
      <t>クブン</t>
    </rPh>
    <phoneticPr fontId="1"/>
  </si>
  <si>
    <t>基本分
１号</t>
    <rPh sb="0" eb="3">
      <t>キホンブン</t>
    </rPh>
    <rPh sb="5" eb="6">
      <t>ゴウ</t>
    </rPh>
    <phoneticPr fontId="1"/>
  </si>
  <si>
    <t>4歳以上児</t>
    <rPh sb="1" eb="5">
      <t>サイイジョウジ</t>
    </rPh>
    <phoneticPr fontId="1"/>
  </si>
  <si>
    <t>満３歳児</t>
    <rPh sb="0" eb="1">
      <t>マン</t>
    </rPh>
    <rPh sb="2" eb="4">
      <t>サイジ</t>
    </rPh>
    <phoneticPr fontId="1"/>
  </si>
  <si>
    <t>加算部分１</t>
    <rPh sb="0" eb="2">
      <t>カサン</t>
    </rPh>
    <rPh sb="2" eb="4">
      <t>ブブン</t>
    </rPh>
    <phoneticPr fontId="1"/>
  </si>
  <si>
    <t>副園長・教頭設置加算</t>
    <rPh sb="0" eb="3">
      <t>フクエンチョウ</t>
    </rPh>
    <rPh sb="4" eb="6">
      <t>キョウトウ</t>
    </rPh>
    <rPh sb="6" eb="8">
      <t>セッチ</t>
    </rPh>
    <rPh sb="8" eb="10">
      <t>カサン</t>
    </rPh>
    <phoneticPr fontId="1"/>
  </si>
  <si>
    <t>-</t>
    <phoneticPr fontId="1"/>
  </si>
  <si>
    <t>4歳以上児配置改善加算</t>
    <rPh sb="1" eb="11">
      <t>サイイジョウジハイチカイゼンカサン</t>
    </rPh>
    <phoneticPr fontId="1"/>
  </si>
  <si>
    <t>３歳児配置改善加算</t>
    <rPh sb="1" eb="3">
      <t>サイジ</t>
    </rPh>
    <rPh sb="3" eb="5">
      <t>ハイチ</t>
    </rPh>
    <rPh sb="5" eb="7">
      <t>カイゼン</t>
    </rPh>
    <rPh sb="7" eb="9">
      <t>カサン</t>
    </rPh>
    <phoneticPr fontId="1"/>
  </si>
  <si>
    <t>満３歳児対応教諭配置加算③無</t>
    <rPh sb="0" eb="1">
      <t>マン</t>
    </rPh>
    <rPh sb="2" eb="4">
      <t>サイジ</t>
    </rPh>
    <rPh sb="4" eb="6">
      <t>タイオウ</t>
    </rPh>
    <rPh sb="6" eb="8">
      <t>キョウユ</t>
    </rPh>
    <rPh sb="8" eb="10">
      <t>ハイチ</t>
    </rPh>
    <rPh sb="10" eb="12">
      <t>カサン</t>
    </rPh>
    <rPh sb="13" eb="14">
      <t>ナ</t>
    </rPh>
    <phoneticPr fontId="1"/>
  </si>
  <si>
    <t>満３歳児対応教諭配置加算③有</t>
    <rPh sb="0" eb="1">
      <t>マン</t>
    </rPh>
    <rPh sb="2" eb="4">
      <t>サイジ</t>
    </rPh>
    <rPh sb="4" eb="6">
      <t>タイオウ</t>
    </rPh>
    <rPh sb="6" eb="8">
      <t>キョウユ</t>
    </rPh>
    <rPh sb="8" eb="10">
      <t>ハイチ</t>
    </rPh>
    <rPh sb="10" eb="12">
      <t>カサン</t>
    </rPh>
    <rPh sb="13" eb="14">
      <t>アリ</t>
    </rPh>
    <phoneticPr fontId="1"/>
  </si>
  <si>
    <t>給食実施加算園内</t>
    <rPh sb="0" eb="2">
      <t>キュウショク</t>
    </rPh>
    <rPh sb="2" eb="4">
      <t>ジッシ</t>
    </rPh>
    <rPh sb="4" eb="6">
      <t>カサン</t>
    </rPh>
    <rPh sb="6" eb="7">
      <t>エン</t>
    </rPh>
    <rPh sb="7" eb="8">
      <t>ナイ</t>
    </rPh>
    <phoneticPr fontId="1"/>
  </si>
  <si>
    <t>給食実施加算外部</t>
    <rPh sb="0" eb="2">
      <t>キュウショク</t>
    </rPh>
    <rPh sb="2" eb="4">
      <t>ジッシ</t>
    </rPh>
    <rPh sb="4" eb="6">
      <t>カサン</t>
    </rPh>
    <rPh sb="6" eb="8">
      <t>ガイブ</t>
    </rPh>
    <phoneticPr fontId="1"/>
  </si>
  <si>
    <t>加算部分２</t>
    <rPh sb="0" eb="2">
      <t>カサン</t>
    </rPh>
    <rPh sb="2" eb="4">
      <t>ブブン</t>
    </rPh>
    <phoneticPr fontId="1"/>
  </si>
  <si>
    <t>療育
支援</t>
    <rPh sb="0" eb="2">
      <t>リョウイク</t>
    </rPh>
    <rPh sb="3" eb="5">
      <t>シエン</t>
    </rPh>
    <phoneticPr fontId="1"/>
  </si>
  <si>
    <t>A190</t>
    <phoneticPr fontId="1"/>
  </si>
  <si>
    <t>B１２０</t>
    <phoneticPr fontId="1"/>
  </si>
  <si>
    <t>その他の加配</t>
    <rPh sb="2" eb="3">
      <t>タ</t>
    </rPh>
    <rPh sb="4" eb="6">
      <t>カハイ</t>
    </rPh>
    <phoneticPr fontId="1"/>
  </si>
  <si>
    <t>※子どもの在籍数による単価算出（端数切り）を省略しているので数千円程度、実際より高い値が出ます。→</t>
    <phoneticPr fontId="1"/>
  </si>
  <si>
    <t>2.3号
保育標準時間</t>
    <rPh sb="3" eb="4">
      <t>ゴウ</t>
    </rPh>
    <rPh sb="5" eb="11">
      <t>ホイクヒョウジュンジカン</t>
    </rPh>
    <phoneticPr fontId="1"/>
  </si>
  <si>
    <t>2歳児</t>
    <rPh sb="1" eb="3">
      <t>サイジ</t>
    </rPh>
    <phoneticPr fontId="1"/>
  </si>
  <si>
    <t>1歳児</t>
    <rPh sb="1" eb="3">
      <t>サイジ</t>
    </rPh>
    <phoneticPr fontId="1"/>
  </si>
  <si>
    <t>乳児</t>
    <rPh sb="0" eb="2">
      <t>ニュウジ</t>
    </rPh>
    <phoneticPr fontId="1"/>
  </si>
  <si>
    <t>2.3号
短時間</t>
    <rPh sb="3" eb="4">
      <t>ゴウ</t>
    </rPh>
    <rPh sb="5" eb="6">
      <t>タン</t>
    </rPh>
    <rPh sb="6" eb="8">
      <t>ジカン</t>
    </rPh>
    <phoneticPr fontId="1"/>
  </si>
  <si>
    <t>加算部分1</t>
    <rPh sb="0" eb="2">
      <t>カサン</t>
    </rPh>
    <rPh sb="2" eb="4">
      <t>ブブン</t>
    </rPh>
    <phoneticPr fontId="1"/>
  </si>
  <si>
    <t>3歳児配置改善加算</t>
    <rPh sb="1" eb="9">
      <t>サイジハイチカイゼンカサン</t>
    </rPh>
    <phoneticPr fontId="1"/>
  </si>
  <si>
    <t>1歳児配置改善加算</t>
    <rPh sb="1" eb="9">
      <t>サイジハイチカイゼンカサン</t>
    </rPh>
    <phoneticPr fontId="1"/>
  </si>
  <si>
    <t>休日保育加算</t>
    <rPh sb="0" eb="4">
      <t>キュウジツホイク</t>
    </rPh>
    <rPh sb="4" eb="6">
      <t>カサン</t>
    </rPh>
    <phoneticPr fontId="1"/>
  </si>
  <si>
    <t>夜間保育加算</t>
    <rPh sb="0" eb="2">
      <t>ヤカン</t>
    </rPh>
    <rPh sb="2" eb="4">
      <t>ホイク</t>
    </rPh>
    <rPh sb="4" eb="6">
      <t>カサン</t>
    </rPh>
    <phoneticPr fontId="1"/>
  </si>
  <si>
    <t>1号いない場合</t>
    <rPh sb="1" eb="2">
      <t>ゴウ</t>
    </rPh>
    <rPh sb="5" eb="7">
      <t>バアイ</t>
    </rPh>
    <phoneticPr fontId="1"/>
  </si>
  <si>
    <t>A260</t>
    <phoneticPr fontId="1"/>
  </si>
  <si>
    <t>B170</t>
    <phoneticPr fontId="1"/>
  </si>
  <si>
    <t>栄養
管理</t>
    <rPh sb="0" eb="2">
      <t>エイヨウ</t>
    </rPh>
    <rPh sb="3" eb="5">
      <t>カンリ</t>
    </rPh>
    <phoneticPr fontId="1"/>
  </si>
  <si>
    <t>A</t>
    <phoneticPr fontId="1"/>
  </si>
  <si>
    <t>B</t>
    <phoneticPr fontId="1"/>
  </si>
  <si>
    <t>その他加算</t>
    <rPh sb="2" eb="3">
      <t>タ</t>
    </rPh>
    <rPh sb="3" eb="5">
      <t>カサン</t>
    </rPh>
    <phoneticPr fontId="1"/>
  </si>
  <si>
    <t>※１号、２号、３号の加算a、b、c、区分３の合計額→</t>
    <rPh sb="2" eb="3">
      <t>ゴウ</t>
    </rPh>
    <rPh sb="5" eb="6">
      <t>ゴウ</t>
    </rPh>
    <rPh sb="8" eb="9">
      <t>ゴウ</t>
    </rPh>
    <rPh sb="10" eb="12">
      <t>カサン</t>
    </rPh>
    <rPh sb="18" eb="20">
      <t>クブン</t>
    </rPh>
    <rPh sb="22" eb="25">
      <t>ゴウケイガク</t>
    </rPh>
    <phoneticPr fontId="1"/>
  </si>
  <si>
    <t>区分２と区分３の合計額→</t>
    <rPh sb="0" eb="2">
      <t>クブン</t>
    </rPh>
    <rPh sb="4" eb="6">
      <t>クブン</t>
    </rPh>
    <rPh sb="8" eb="11">
      <t>ゴウケイガク</t>
    </rPh>
    <phoneticPr fontId="1"/>
  </si>
  <si>
    <t>区分２＋区分３の１/２
（事業主負担分含む）</t>
    <phoneticPr fontId="1"/>
  </si>
  <si>
    <t>保育標準時間</t>
    <rPh sb="0" eb="6">
      <t>ホイクヒョウジュンジカン</t>
    </rPh>
    <phoneticPr fontId="1"/>
  </si>
  <si>
    <t>短時間</t>
    <rPh sb="0" eb="3">
      <t>タンジカン</t>
    </rPh>
    <phoneticPr fontId="1"/>
  </si>
  <si>
    <t>加算額の概算値の試算例（保育所）</t>
    <rPh sb="0" eb="3">
      <t>カサンガク</t>
    </rPh>
    <rPh sb="4" eb="7">
      <t>ガイサンチ</t>
    </rPh>
    <rPh sb="8" eb="11">
      <t>シサンレイ</t>
    </rPh>
    <rPh sb="12" eb="14">
      <t>ホイク</t>
    </rPh>
    <rPh sb="14" eb="15">
      <t>ジョ</t>
    </rPh>
    <phoneticPr fontId="1"/>
  </si>
  <si>
    <t>チーム保育推進加算</t>
    <rPh sb="3" eb="7">
      <t>ホイクスイシン</t>
    </rPh>
    <rPh sb="7" eb="9">
      <t>カサン</t>
    </rPh>
    <phoneticPr fontId="1"/>
  </si>
  <si>
    <t>施設長を配置していない場合</t>
    <rPh sb="0" eb="3">
      <t>シセツチョウ</t>
    </rPh>
    <rPh sb="4" eb="6">
      <t>ハイチ</t>
    </rPh>
    <rPh sb="11" eb="13">
      <t>バアイ</t>
    </rPh>
    <phoneticPr fontId="1"/>
  </si>
  <si>
    <t>主任保育士専任加算</t>
    <rPh sb="0" eb="9">
      <t>シュニンホイクシセンニンカサン</t>
    </rPh>
    <phoneticPr fontId="1"/>
  </si>
  <si>
    <t>A５２０</t>
    <phoneticPr fontId="1"/>
  </si>
  <si>
    <t>B340</t>
    <phoneticPr fontId="1"/>
  </si>
  <si>
    <t>事務職員雇上げ費加算</t>
    <rPh sb="0" eb="6">
      <t>ジムショクインヤトイア</t>
    </rPh>
    <rPh sb="7" eb="8">
      <t>ヒ</t>
    </rPh>
    <rPh sb="8" eb="10">
      <t>カサン</t>
    </rPh>
    <phoneticPr fontId="1"/>
  </si>
  <si>
    <t>A790</t>
    <phoneticPr fontId="1"/>
  </si>
  <si>
    <t>B500</t>
    <phoneticPr fontId="1"/>
  </si>
  <si>
    <t>その他の加算</t>
    <rPh sb="2" eb="3">
      <t>タ</t>
    </rPh>
    <rPh sb="4" eb="6">
      <t>カサン</t>
    </rPh>
    <phoneticPr fontId="1"/>
  </si>
  <si>
    <t>平均年齢別児童数計算表（認定こども園、保育所等）</t>
    <rPh sb="0" eb="2">
      <t>ヘイキン</t>
    </rPh>
    <rPh sb="2" eb="5">
      <t>ネンレイベツ</t>
    </rPh>
    <rPh sb="5" eb="8">
      <t>ジドウスウ</t>
    </rPh>
    <rPh sb="8" eb="11">
      <t>ケイサンヒョウ</t>
    </rPh>
    <rPh sb="12" eb="14">
      <t>ニン</t>
    </rPh>
    <rPh sb="19" eb="22">
      <t>ホイクショ</t>
    </rPh>
    <rPh sb="22" eb="23">
      <t>トウ</t>
    </rPh>
    <phoneticPr fontId="1"/>
  </si>
  <si>
    <t>○○○○保育所</t>
    <rPh sb="4" eb="6">
      <t>ホイク</t>
    </rPh>
    <rPh sb="6" eb="7">
      <t>ジョ</t>
    </rPh>
    <phoneticPr fontId="1"/>
  </si>
  <si>
    <t>黄緑色セルは入力項目、黄色セルは自動計算。</t>
    <rPh sb="0" eb="2">
      <t>キミドリ</t>
    </rPh>
    <rPh sb="2" eb="3">
      <t>イロ</t>
    </rPh>
    <rPh sb="6" eb="8">
      <t>ニュウリョク</t>
    </rPh>
    <rPh sb="8" eb="10">
      <t>コウモク</t>
    </rPh>
    <rPh sb="11" eb="13">
      <t>キイロ</t>
    </rPh>
    <rPh sb="16" eb="18">
      <t>ジドウ</t>
    </rPh>
    <rPh sb="18" eb="20">
      <t>ケイサン</t>
    </rPh>
    <phoneticPr fontId="1"/>
  </si>
  <si>
    <t>児童数は、月初日利用児童数を入力すること。</t>
    <rPh sb="0" eb="3">
      <t>ジドウスウ</t>
    </rPh>
    <rPh sb="5" eb="6">
      <t>ツキ</t>
    </rPh>
    <rPh sb="6" eb="8">
      <t>ショニチ</t>
    </rPh>
    <rPh sb="8" eb="10">
      <t>リヨウ</t>
    </rPh>
    <rPh sb="10" eb="13">
      <t>ジドウスウ</t>
    </rPh>
    <rPh sb="14" eb="16">
      <t>ニュウリョク</t>
    </rPh>
    <phoneticPr fontId="1"/>
  </si>
  <si>
    <t>小規模保育所、事業所内保育事業所については、１，２歳児、０歳児欄に記入すること。</t>
    <rPh sb="0" eb="3">
      <t>ショウキボ</t>
    </rPh>
    <rPh sb="3" eb="6">
      <t>ホイクショ</t>
    </rPh>
    <rPh sb="7" eb="10">
      <t>ジギョウショ</t>
    </rPh>
    <rPh sb="10" eb="11">
      <t>ナイ</t>
    </rPh>
    <rPh sb="11" eb="13">
      <t>ホイク</t>
    </rPh>
    <rPh sb="13" eb="16">
      <t>ジギョウショ</t>
    </rPh>
    <rPh sb="25" eb="27">
      <t>サイジ</t>
    </rPh>
    <rPh sb="29" eb="31">
      <t>サイジ</t>
    </rPh>
    <rPh sb="31" eb="32">
      <t>ラン</t>
    </rPh>
    <rPh sb="33" eb="35">
      <t>キニュウ</t>
    </rPh>
    <phoneticPr fontId="1"/>
  </si>
  <si>
    <t>（１）令和６年度実績</t>
  </si>
  <si>
    <t>６年度</t>
    <rPh sb="1" eb="3">
      <t>ネンド</t>
    </rPh>
    <phoneticPr fontId="1"/>
  </si>
  <si>
    <t>平均
児童数</t>
    <rPh sb="0" eb="2">
      <t>ヘイキン</t>
    </rPh>
    <rPh sb="3" eb="6">
      <t>ジドウスウ</t>
    </rPh>
    <phoneticPr fontId="1"/>
  </si>
  <si>
    <t>実績</t>
    <rPh sb="0" eb="2">
      <t>ジッセキ</t>
    </rPh>
    <phoneticPr fontId="1"/>
  </si>
  <si>
    <t>４歳以上児</t>
    <rPh sb="1" eb="2">
      <t>サイ</t>
    </rPh>
    <rPh sb="4" eb="5">
      <t>ジ</t>
    </rPh>
    <phoneticPr fontId="1"/>
  </si>
  <si>
    <t>児童数</t>
    <rPh sb="0" eb="3">
      <t>ジドウスウ</t>
    </rPh>
    <phoneticPr fontId="1"/>
  </si>
  <si>
    <t>伸び率</t>
    <rPh sb="0" eb="1">
      <t>ノ</t>
    </rPh>
    <rPh sb="2" eb="3">
      <t>リツ</t>
    </rPh>
    <phoneticPr fontId="1"/>
  </si>
  <si>
    <t/>
  </si>
  <si>
    <t xml:space="preserve"> </t>
  </si>
  <si>
    <t>３歳児</t>
    <rPh sb="1" eb="3">
      <t>サイジ</t>
    </rPh>
    <phoneticPr fontId="1"/>
  </si>
  <si>
    <r>
      <t xml:space="preserve">うち満３歳児
</t>
    </r>
    <r>
      <rPr>
        <sz val="8"/>
        <color theme="1"/>
        <rFont val="游ゴシック"/>
        <family val="3"/>
        <charset val="128"/>
        <scheme val="minor"/>
      </rPr>
      <t>（認定こども園のみ）</t>
    </r>
    <rPh sb="2" eb="3">
      <t>マン</t>
    </rPh>
    <rPh sb="4" eb="6">
      <t>サイジ</t>
    </rPh>
    <rPh sb="8" eb="10">
      <t>ニン</t>
    </rPh>
    <phoneticPr fontId="1"/>
  </si>
  <si>
    <t>（２）前年実績による令和７年度見込み年齢別平均児童数</t>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1"/>
  </si>
  <si>
    <t>７年度</t>
    <rPh sb="1" eb="3">
      <t>ネンド</t>
    </rPh>
    <phoneticPr fontId="1"/>
  </si>
  <si>
    <t>見込み（４月実績×（１）で算出された伸び率）</t>
  </si>
  <si>
    <r>
      <t xml:space="preserve">うち満３歳児
</t>
    </r>
    <r>
      <rPr>
        <sz val="8"/>
        <color theme="1"/>
        <rFont val="游ゴシック"/>
        <family val="3"/>
        <charset val="128"/>
        <scheme val="minor"/>
      </rPr>
      <t>（認定こども園のみ）</t>
    </r>
    <rPh sb="2" eb="3">
      <t>マン</t>
    </rPh>
    <rPh sb="4" eb="6">
      <t>サイジ</t>
    </rPh>
    <phoneticPr fontId="1"/>
  </si>
  <si>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</si>
  <si>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1"/>
  </si>
  <si>
    <t>見込み</t>
  </si>
  <si>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1"/>
  </si>
  <si>
    <t>例：近隣の保育所が、10月に閉所予定であり、その児童数の○○人を受け入れる予定であるため。</t>
    <rPh sb="0" eb="1">
      <t>レイ</t>
    </rPh>
    <rPh sb="2" eb="4">
      <t>キンリン</t>
    </rPh>
    <rPh sb="5" eb="7">
      <t>ホイク</t>
    </rPh>
    <rPh sb="7" eb="8">
      <t>ショ</t>
    </rPh>
    <rPh sb="12" eb="13">
      <t>ガツ</t>
    </rPh>
    <rPh sb="14" eb="16">
      <t>ヘイショ</t>
    </rPh>
    <rPh sb="16" eb="18">
      <t>ヨテイ</t>
    </rPh>
    <rPh sb="24" eb="27">
      <t>ジドウスウ</t>
    </rPh>
    <rPh sb="30" eb="31">
      <t>ジン</t>
    </rPh>
    <rPh sb="32" eb="33">
      <t>ウ</t>
    </rPh>
    <rPh sb="34" eb="35">
      <t>イ</t>
    </rPh>
    <rPh sb="37" eb="39">
      <t>ヨテイ</t>
    </rPh>
    <phoneticPr fontId="1"/>
  </si>
  <si>
    <t>※２号、３号の加算a、b、c、区分３の合計額→</t>
    <rPh sb="2" eb="3">
      <t>ゴウ</t>
    </rPh>
    <rPh sb="5" eb="6">
      <t>ゴウ</t>
    </rPh>
    <rPh sb="7" eb="9">
      <t>カサン</t>
    </rPh>
    <rPh sb="15" eb="17">
      <t>クブン</t>
    </rPh>
    <rPh sb="19" eb="22">
      <t>ゴウケイガク</t>
    </rPh>
    <phoneticPr fontId="1"/>
  </si>
  <si>
    <t>＜保育園用＞</t>
    <rPh sb="1" eb="4">
      <t>ホイクエン</t>
    </rPh>
    <rPh sb="4" eb="5">
      <t>ヨウ</t>
    </rPh>
    <phoneticPr fontId="1"/>
  </si>
  <si>
    <t>＜認定こども園用＞</t>
    <rPh sb="1" eb="3">
      <t>ニンテイ</t>
    </rPh>
    <rPh sb="6" eb="7">
      <t>エン</t>
    </rPh>
    <rPh sb="7" eb="8">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</si>
</sst>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0.0_);[Red]\(0.0\)"/>
    <numFmt numFmtId="178" formatCode="0.00_);[Red]\(0.00\)"/>
    <numFmt numFmtId="179" formatCode="0.000_);[Red]\(0.000\)"/>
    <numFmt numFmtId="180" formatCode="0.0_ ;[Red]\-0.0\ "/>
    <numFmt numFmtId="181" formatCode="#,##0_);[Red]\(#,##0\)"/>
    <numFmt numFmtId="182" formatCode="0.0"/>
    <numFmt numFmtId="183" formatCode="0.0_ "/>
    <numFmt numFmtId="184" formatCode="#,##0&quot;月&quot;\ "/>
    <numFmt numFmtId="185" formatCode="#,##0&quot;人&quot;\ "/>
    <numFmt numFmtId="186" formatCode="0.00_ "/>
    <numFmt numFmtId="187" formatCode="#,##0.0&quot;人&quot;\ "/>
  </numFmts>
  <fonts count="63">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14"/>
      <color theme="1"/>
      <name val="游ゴシック"/>
      <family val="2"/>
      <charset val="128"/>
      <scheme val="minor"/>
    </font>
    <font>
      <sz val="14"/>
      <color theme="1"/>
      <name val="HG丸ｺﾞｼｯｸM-PRO"/>
      <family val="3"/>
      <charset val="128"/>
    </font>
    <font>
      <sz val="11"/>
      <color theme="1"/>
      <name val="HG丸ｺﾞｼｯｸM-PRO"/>
      <family val="3"/>
      <charset val="128"/>
    </font>
    <font>
      <sz val="9"/>
      <color theme="1"/>
      <name val="HG丸ｺﾞｼｯｸM-PRO"/>
      <family val="3"/>
      <charset val="128"/>
    </font>
    <font>
      <sz val="11"/>
      <color theme="0"/>
      <name val="HG丸ｺﾞｼｯｸM-PRO"/>
      <family val="3"/>
      <charset val="128"/>
    </font>
    <font>
      <sz val="11"/>
      <name val="HG丸ｺﾞｼｯｸM-PRO"/>
      <family val="3"/>
      <charset val="128"/>
    </font>
    <font>
      <sz val="10"/>
      <color theme="1"/>
      <name val="HG丸ｺﾞｼｯｸM-PRO"/>
      <family val="3"/>
      <charset val="128"/>
    </font>
    <font>
      <sz val="11"/>
      <color theme="2" tint="-0.249977111117893"/>
      <name val="HG丸ｺﾞｼｯｸM-PRO"/>
      <family val="3"/>
      <charset val="128"/>
    </font>
    <font>
      <sz val="12"/>
      <color theme="1"/>
      <name val="HG丸ｺﾞｼｯｸM-PRO"/>
      <family val="3"/>
      <charset val="128"/>
    </font>
    <font>
      <sz val="16"/>
      <color theme="1"/>
      <name val="HG丸ｺﾞｼｯｸM-PRO"/>
      <family val="3"/>
      <charset val="128"/>
    </font>
    <font>
      <sz val="10"/>
      <name val="HG丸ｺﾞｼｯｸM-PRO"/>
      <family val="3"/>
      <charset val="128"/>
    </font>
    <font>
      <b/>
      <sz val="12"/>
      <color theme="1"/>
      <name val="HG丸ｺﾞｼｯｸM-PRO"/>
      <family val="3"/>
      <charset val="128"/>
    </font>
    <font>
      <b/>
      <sz val="12"/>
      <name val="HG丸ｺﾞｼｯｸM-PRO"/>
      <family val="3"/>
      <charset val="128"/>
    </font>
    <font>
      <sz val="12"/>
      <color theme="2" tint="-0.249977111117893"/>
      <name val="HG丸ｺﾞｼｯｸM-PRO"/>
      <family val="3"/>
      <charset val="128"/>
    </font>
    <font>
      <sz val="12"/>
      <color indexed="81"/>
      <name val="MS P ゴシック"/>
      <family val="3"/>
      <charset val="128"/>
    </font>
    <font>
      <sz val="11"/>
      <color theme="0" tint="-0.249977111117893"/>
      <name val="HG丸ｺﾞｼｯｸM-PRO"/>
      <family val="3"/>
      <charset val="128"/>
    </font>
    <font>
      <sz val="11"/>
      <color theme="1"/>
      <name val="游ゴシック"/>
      <family val="2"/>
      <charset val="128"/>
      <scheme val="minor"/>
    </font>
    <font>
      <sz val="11"/>
      <color theme="2" tint="-0.499984740745262"/>
      <name val="HG丸ｺﾞｼｯｸM-PRO"/>
      <family val="3"/>
      <charset val="128"/>
    </font>
    <font>
      <sz val="10"/>
      <color indexed="81"/>
      <name val="ＭＳ Ｐゴシック"/>
      <family val="3"/>
      <charset val="128"/>
    </font>
    <font>
      <b/>
      <sz val="11"/>
      <color theme="1"/>
      <name val="HG丸ｺﾞｼｯｸM-PRO"/>
      <family val="3"/>
      <charset val="128"/>
    </font>
    <font>
      <sz val="12"/>
      <color indexed="81"/>
      <name val="ＭＳ Ｐゴシック"/>
      <family val="3"/>
      <charset val="128"/>
    </font>
    <font>
      <sz val="11"/>
      <color rgb="FFFF0000"/>
      <name val="HG丸ｺﾞｼｯｸM-PRO"/>
      <family val="3"/>
      <charset val="128"/>
    </font>
    <font>
      <sz val="6"/>
      <name val="游ゴシック"/>
      <family val="3"/>
      <charset val="128"/>
    </font>
    <font>
      <sz val="11"/>
      <color indexed="10"/>
      <name val="HG丸ｺﾞｼｯｸM-PRO"/>
      <family val="3"/>
      <charset val="128"/>
    </font>
    <font>
      <sz val="11"/>
      <color indexed="8"/>
      <name val="HG丸ｺﾞｼｯｸM-PRO"/>
      <family val="3"/>
      <charset val="128"/>
    </font>
    <font>
      <sz val="10"/>
      <color indexed="8"/>
      <name val="HG丸ｺﾞｼｯｸM-PRO"/>
      <family val="3"/>
      <charset val="128"/>
    </font>
    <font>
      <sz val="11"/>
      <color indexed="81"/>
      <name val="MS P ゴシック"/>
      <family val="3"/>
      <charset val="128"/>
    </font>
    <font>
      <sz val="11"/>
      <color theme="8"/>
      <name val="HG丸ｺﾞｼｯｸM-PRO"/>
      <family val="3"/>
      <charset val="128"/>
    </font>
    <font>
      <sz val="11"/>
      <color theme="2"/>
      <name val="HG丸ｺﾞｼｯｸM-PRO"/>
      <family val="3"/>
      <charset val="128"/>
    </font>
    <font>
      <sz val="10"/>
      <color theme="2"/>
      <name val="HG丸ｺﾞｼｯｸM-PRO"/>
      <family val="3"/>
      <charset val="128"/>
    </font>
    <font>
      <sz val="16"/>
      <name val="HG丸ｺﾞｼｯｸM-PRO"/>
      <family val="3"/>
      <charset val="128"/>
    </font>
    <font>
      <b/>
      <sz val="11"/>
      <name val="HG丸ｺﾞｼｯｸM-PRO"/>
      <family val="3"/>
      <charset val="128"/>
    </font>
    <font>
      <sz val="14"/>
      <name val="HG丸ｺﾞｼｯｸM-PRO"/>
      <family val="3"/>
      <charset val="128"/>
    </font>
    <font>
      <sz val="11"/>
      <name val="游ゴシック"/>
      <family val="2"/>
      <charset val="128"/>
      <scheme val="minor"/>
    </font>
    <font>
      <sz val="9"/>
      <color indexed="81"/>
      <name val="MS P ゴシック"/>
      <family val="3"/>
      <charset val="128"/>
    </font>
    <font>
      <b/>
      <sz val="11"/>
      <name val="HG丸ｺﾞｼｯｸM-PRO"/>
      <family val="3"/>
    </font>
    <font>
      <b/>
      <sz val="11"/>
      <color theme="1"/>
      <name val="HG丸ｺﾞｼｯｸM-PRO"/>
      <family val="3"/>
    </font>
    <font>
      <sz val="16"/>
      <color theme="1"/>
      <name val="HGP創英角ｺﾞｼｯｸUB"/>
      <family val="3"/>
      <charset val="128"/>
    </font>
    <font>
      <sz val="18"/>
      <color theme="1"/>
      <name val="HGP創英角ｺﾞｼｯｸUB"/>
      <family val="3"/>
      <charset val="128"/>
    </font>
    <font>
      <sz val="14"/>
      <color theme="1"/>
      <name val="BIZ UDPゴシック"/>
      <family val="3"/>
      <charset val="128"/>
    </font>
    <font>
      <sz val="14"/>
      <color theme="1"/>
      <name val="Meiryo UI"/>
      <family val="3"/>
      <charset val="128"/>
    </font>
    <font>
      <b/>
      <sz val="14"/>
      <color rgb="FFFF0000"/>
      <name val="BIZ UDPゴシック"/>
      <family val="3"/>
      <charset val="128"/>
    </font>
    <font>
      <sz val="10"/>
      <color theme="1"/>
      <name val="BIZ UDPゴシック"/>
      <family val="3"/>
      <charset val="128"/>
    </font>
    <font>
      <sz val="11"/>
      <color theme="1"/>
      <name val="BIZ UDPゴシック"/>
      <family val="3"/>
      <charset val="128"/>
    </font>
    <font>
      <sz val="9"/>
      <color theme="1"/>
      <name val="BIZ UDPゴシック"/>
      <family val="3"/>
      <charset val="128"/>
    </font>
    <font>
      <sz val="8"/>
      <color theme="1"/>
      <name val="BIZ UDPゴシック"/>
      <family val="3"/>
      <charset val="128"/>
    </font>
    <font>
      <sz val="6"/>
      <color rgb="FFFF0000"/>
      <name val="BIZ UDPゴシック"/>
      <family val="3"/>
      <charset val="128"/>
    </font>
    <font>
      <sz val="11"/>
      <color rgb="FFFF0000"/>
      <name val="游ゴシック"/>
      <family val="2"/>
      <charset val="128"/>
      <scheme val="minor"/>
    </font>
    <font>
      <sz val="11"/>
      <color rgb="FFFF0000"/>
      <name val="BIZ UDPゴシック"/>
      <family val="3"/>
      <charset val="128"/>
    </font>
    <font>
      <sz val="9"/>
      <color rgb="FFFF0000"/>
      <name val="BIZ UDPゴシック"/>
      <family val="3"/>
      <charset val="128"/>
    </font>
    <font>
      <sz val="9"/>
      <color rgb="FFFF0000"/>
      <name val="游ゴシック"/>
      <family val="2"/>
      <charset val="128"/>
      <scheme val="minor"/>
    </font>
    <font>
      <sz val="11"/>
      <color theme="1"/>
      <name val="Meiryo UI"/>
      <family val="3"/>
      <charset val="128"/>
    </font>
    <font>
      <b/>
      <sz val="24"/>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8"/>
      <color theme="1"/>
      <name val="游ゴシック"/>
      <family val="3"/>
      <charset val="128"/>
      <scheme val="minor"/>
    </font>
    <font>
      <b/>
      <sz val="11"/>
      <color rgb="FFFF0000"/>
      <name val="游ゴシック"/>
      <family val="3"/>
      <charset val="128"/>
      <scheme val="minor"/>
    </font>
    <font>
      <b/>
      <sz val="12"/>
      <color theme="1"/>
      <name val="游ゴシック"/>
      <family val="3"/>
      <charset val="128"/>
      <scheme val="minor"/>
    </font>
  </fonts>
  <fills count="12">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FFC000"/>
        <bgColor indexed="64"/>
      </patternFill>
    </fill>
    <fill>
      <patternFill patternType="solid">
        <fgColor rgb="FFA0FF21"/>
        <bgColor indexed="64"/>
      </patternFill>
    </fill>
    <fill>
      <patternFill patternType="solid">
        <fgColor rgb="FFFFCCFF"/>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C4FEA4"/>
        <bgColor indexed="64"/>
      </patternFill>
    </fill>
    <fill>
      <patternFill patternType="solid">
        <fgColor rgb="FFCCFFFF"/>
        <bgColor indexed="64"/>
      </patternFill>
    </fill>
  </fills>
  <borders count="15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hair">
        <color indexed="64"/>
      </top>
      <bottom/>
      <diagonal/>
    </border>
    <border>
      <left style="medium">
        <color indexed="64"/>
      </left>
      <right style="medium">
        <color indexed="64"/>
      </right>
      <top/>
      <bottom style="thin">
        <color indexed="64"/>
      </bottom>
      <diagonal/>
    </border>
    <border diagonalUp="1">
      <left style="thin">
        <color indexed="64"/>
      </left>
      <right/>
      <top/>
      <bottom style="double">
        <color indexed="64"/>
      </bottom>
      <diagonal style="thin">
        <color indexed="64"/>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double">
        <color indexed="64"/>
      </bottom>
      <diagonal/>
    </border>
    <border diagonalUp="1">
      <left style="thin">
        <color indexed="64"/>
      </left>
      <right style="medium">
        <color indexed="64"/>
      </right>
      <top style="hair">
        <color indexed="64"/>
      </top>
      <bottom style="thin">
        <color indexed="64"/>
      </bottom>
      <diagonal style="thin">
        <color indexed="64"/>
      </diagonal>
    </border>
    <border diagonalUp="1">
      <left style="thin">
        <color indexed="64"/>
      </left>
      <right/>
      <top/>
      <bottom/>
      <diagonal style="thin">
        <color indexed="64"/>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double">
        <color indexed="64"/>
      </bottom>
      <diagonal/>
    </border>
    <border>
      <left/>
      <right/>
      <top style="medium">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style="medium">
        <color indexed="64"/>
      </right>
      <top style="medium">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right/>
      <top/>
      <bottom style="hair">
        <color indexed="64"/>
      </bottom>
      <diagonal/>
    </border>
    <border>
      <left/>
      <right/>
      <top style="hair">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double">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double">
        <color indexed="64"/>
      </bottom>
      <diagonal/>
    </border>
    <border>
      <left/>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style="hair">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diagonal/>
    </border>
    <border>
      <left/>
      <right style="thin">
        <color indexed="64"/>
      </right>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711">
    <xf numFmtId="0" fontId="0" fillId="0" borderId="0" xfId="0">
      <alignment vertical="center"/>
    </xf>
    <xf numFmtId="176" fontId="5" fillId="5" borderId="1" xfId="0" applyNumberFormat="1" applyFont="1" applyFill="1" applyBorder="1" applyAlignment="1" applyProtection="1">
      <alignment horizontal="right" vertical="center"/>
      <protection locked="0"/>
    </xf>
    <xf numFmtId="176" fontId="5" fillId="5" borderId="89" xfId="0" applyNumberFormat="1" applyFont="1" applyFill="1" applyBorder="1" applyAlignment="1" applyProtection="1">
      <alignment horizontal="right" vertical="center"/>
      <protection locked="0"/>
    </xf>
    <xf numFmtId="0" fontId="5" fillId="4" borderId="45"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12" fillId="0" borderId="0" xfId="0" applyFont="1" applyProtection="1">
      <alignment vertical="center"/>
      <protection locked="0"/>
    </xf>
    <xf numFmtId="0" fontId="4" fillId="0" borderId="0" xfId="0" applyFont="1" applyProtection="1">
      <alignment vertical="center"/>
      <protection locked="0"/>
    </xf>
    <xf numFmtId="176" fontId="4" fillId="0" borderId="0" xfId="0" applyNumberFormat="1" applyFont="1" applyProtection="1">
      <alignment vertical="center"/>
      <protection locked="0"/>
    </xf>
    <xf numFmtId="0" fontId="3" fillId="0" borderId="0" xfId="0" applyFont="1" applyProtection="1">
      <alignment vertical="center"/>
      <protection locked="0"/>
    </xf>
    <xf numFmtId="0" fontId="5" fillId="0" borderId="0" xfId="0" applyFont="1" applyProtection="1">
      <alignment vertical="center"/>
      <protection locked="0"/>
    </xf>
    <xf numFmtId="176" fontId="5" fillId="0" borderId="0" xfId="0" applyNumberFormat="1" applyFont="1" applyProtection="1">
      <alignment vertical="center"/>
      <protection locked="0"/>
    </xf>
    <xf numFmtId="0" fontId="0" fillId="0" borderId="0" xfId="0" applyProtection="1">
      <alignment vertical="center"/>
      <protection locked="0"/>
    </xf>
    <xf numFmtId="0" fontId="5" fillId="0" borderId="0" xfId="0" applyFont="1" applyAlignment="1" applyProtection="1">
      <alignment horizontal="center" vertical="center"/>
      <protection locked="0"/>
    </xf>
    <xf numFmtId="0" fontId="14" fillId="0" borderId="0" xfId="0" applyFont="1" applyProtection="1">
      <alignment vertical="center"/>
      <protection locked="0"/>
    </xf>
    <xf numFmtId="0" fontId="5" fillId="0" borderId="2" xfId="0" applyFont="1" applyBorder="1" applyAlignment="1" applyProtection="1">
      <alignment horizontal="center" vertical="center" wrapText="1"/>
      <protection locked="0"/>
    </xf>
    <xf numFmtId="0" fontId="5" fillId="0" borderId="0" xfId="0" applyFont="1" applyAlignment="1" applyProtection="1">
      <alignment horizontal="left" vertical="center"/>
      <protection locked="0"/>
    </xf>
    <xf numFmtId="176" fontId="5" fillId="0" borderId="0" xfId="0" applyNumberFormat="1" applyFont="1" applyAlignment="1" applyProtection="1">
      <alignment horizontal="right" vertical="center"/>
      <protection locked="0"/>
    </xf>
    <xf numFmtId="0" fontId="5" fillId="0" borderId="5" xfId="0" applyFont="1" applyBorder="1" applyProtection="1">
      <alignment vertical="center"/>
      <protection locked="0"/>
    </xf>
    <xf numFmtId="0" fontId="5" fillId="0" borderId="4" xfId="0" applyFont="1" applyBorder="1" applyAlignment="1" applyProtection="1">
      <alignment horizontal="center" vertical="center" wrapText="1"/>
      <protection locked="0"/>
    </xf>
    <xf numFmtId="176" fontId="5" fillId="0" borderId="19" xfId="0" applyNumberFormat="1" applyFont="1" applyBorder="1" applyAlignment="1" applyProtection="1">
      <alignment horizontal="center" vertical="center" wrapText="1"/>
      <protection locked="0"/>
    </xf>
    <xf numFmtId="0" fontId="5" fillId="0" borderId="8" xfId="0" applyFont="1" applyBorder="1" applyAlignment="1" applyProtection="1">
      <alignment horizontal="right" vertical="center"/>
      <protection locked="0"/>
    </xf>
    <xf numFmtId="0" fontId="5" fillId="0" borderId="6" xfId="0" applyFont="1" applyBorder="1" applyProtection="1">
      <alignment vertical="center"/>
      <protection locked="0"/>
    </xf>
    <xf numFmtId="176" fontId="5" fillId="0" borderId="20" xfId="0" applyNumberFormat="1" applyFont="1" applyBorder="1" applyProtection="1">
      <alignment vertical="center"/>
      <protection locked="0"/>
    </xf>
    <xf numFmtId="0" fontId="5" fillId="0" borderId="23" xfId="0" applyFont="1" applyBorder="1" applyAlignment="1" applyProtection="1">
      <alignment horizontal="right" vertical="center"/>
      <protection locked="0"/>
    </xf>
    <xf numFmtId="0" fontId="5" fillId="0" borderId="34" xfId="0" applyFont="1" applyBorder="1" applyProtection="1">
      <alignment vertical="center"/>
      <protection locked="0"/>
    </xf>
    <xf numFmtId="0" fontId="6" fillId="0" borderId="0" xfId="0" applyFont="1" applyAlignment="1" applyProtection="1">
      <alignment horizontal="left" vertical="center"/>
      <protection locked="0"/>
    </xf>
    <xf numFmtId="0" fontId="5" fillId="0" borderId="14" xfId="0" applyFont="1" applyBorder="1" applyAlignment="1" applyProtection="1">
      <alignment horizontal="right" vertical="center"/>
      <protection locked="0"/>
    </xf>
    <xf numFmtId="0" fontId="5" fillId="0" borderId="7" xfId="0" applyFont="1" applyBorder="1" applyProtection="1">
      <alignment vertical="center"/>
      <protection locked="0"/>
    </xf>
    <xf numFmtId="176" fontId="5" fillId="0" borderId="21" xfId="0" applyNumberFormat="1" applyFont="1" applyBorder="1" applyAlignment="1" applyProtection="1">
      <alignment horizontal="right" vertical="center"/>
      <protection locked="0"/>
    </xf>
    <xf numFmtId="0" fontId="5" fillId="0" borderId="5" xfId="0" applyFont="1" applyBorder="1" applyAlignment="1" applyProtection="1">
      <alignment horizontal="right" vertical="center"/>
      <protection locked="0"/>
    </xf>
    <xf numFmtId="176" fontId="6" fillId="0" borderId="19" xfId="0" applyNumberFormat="1" applyFont="1" applyBorder="1" applyProtection="1">
      <alignment vertical="center"/>
      <protection locked="0"/>
    </xf>
    <xf numFmtId="0" fontId="5" fillId="0" borderId="5" xfId="0" applyFont="1" applyBorder="1" applyAlignment="1" applyProtection="1">
      <alignment horizontal="center" vertical="center"/>
      <protection locked="0"/>
    </xf>
    <xf numFmtId="0" fontId="5" fillId="0" borderId="85" xfId="0" applyFont="1" applyBorder="1" applyProtection="1">
      <alignment vertical="center"/>
      <protection locked="0"/>
    </xf>
    <xf numFmtId="0" fontId="5" fillId="0" borderId="86" xfId="0" applyFont="1" applyBorder="1" applyProtection="1">
      <alignment vertical="center"/>
      <protection locked="0"/>
    </xf>
    <xf numFmtId="0" fontId="5" fillId="0" borderId="88" xfId="0" applyFont="1" applyBorder="1" applyProtection="1">
      <alignment vertical="center"/>
      <protection locked="0"/>
    </xf>
    <xf numFmtId="176" fontId="5" fillId="0" borderId="79" xfId="0" applyNumberFormat="1" applyFont="1" applyBorder="1" applyAlignment="1" applyProtection="1">
      <alignment horizontal="right" vertical="center"/>
      <protection locked="0"/>
    </xf>
    <xf numFmtId="0" fontId="8" fillId="0" borderId="14" xfId="0" applyFont="1" applyBorder="1" applyProtection="1">
      <alignment vertical="center"/>
      <protection locked="0"/>
    </xf>
    <xf numFmtId="176" fontId="5" fillId="0" borderId="15" xfId="0" applyNumberFormat="1" applyFont="1" applyBorder="1" applyProtection="1">
      <alignment vertical="center"/>
      <protection locked="0"/>
    </xf>
    <xf numFmtId="0" fontId="15" fillId="0" borderId="10" xfId="0" applyFont="1" applyBorder="1" applyProtection="1">
      <alignment vertical="center"/>
      <protection locked="0"/>
    </xf>
    <xf numFmtId="0" fontId="11" fillId="0" borderId="13" xfId="0" applyFont="1" applyBorder="1" applyProtection="1">
      <alignment vertical="center"/>
      <protection locked="0"/>
    </xf>
    <xf numFmtId="176" fontId="11" fillId="0" borderId="9" xfId="0" applyNumberFormat="1" applyFont="1" applyBorder="1" applyProtection="1">
      <alignment vertical="center"/>
      <protection locked="0"/>
    </xf>
    <xf numFmtId="0" fontId="8" fillId="0" borderId="0" xfId="0" applyFont="1" applyProtection="1">
      <alignment vertical="center"/>
      <protection locked="0"/>
    </xf>
    <xf numFmtId="176" fontId="10" fillId="0" borderId="0" xfId="0" applyNumberFormat="1" applyFont="1" applyProtection="1">
      <alignment vertical="center"/>
      <protection locked="0"/>
    </xf>
    <xf numFmtId="177" fontId="5" fillId="0" borderId="0" xfId="0" applyNumberFormat="1" applyFont="1" applyProtection="1">
      <alignment vertical="center"/>
      <protection locked="0"/>
    </xf>
    <xf numFmtId="176" fontId="6" fillId="0" borderId="0" xfId="0" applyNumberFormat="1" applyFont="1" applyProtection="1">
      <alignment vertical="center"/>
      <protection locked="0"/>
    </xf>
    <xf numFmtId="0" fontId="14" fillId="0" borderId="78" xfId="0" applyFont="1" applyBorder="1" applyProtection="1">
      <alignment vertical="center"/>
      <protection locked="0"/>
    </xf>
    <xf numFmtId="0" fontId="14" fillId="0" borderId="13" xfId="0" applyFont="1" applyBorder="1" applyProtection="1">
      <alignment vertical="center"/>
      <protection locked="0"/>
    </xf>
    <xf numFmtId="178" fontId="10" fillId="2" borderId="1" xfId="0" applyNumberFormat="1" applyFont="1" applyFill="1" applyBorder="1" applyProtection="1">
      <alignment vertical="center"/>
      <protection locked="0"/>
    </xf>
    <xf numFmtId="0" fontId="14" fillId="0" borderId="57" xfId="0" applyFont="1" applyBorder="1" applyProtection="1">
      <alignment vertical="center"/>
      <protection locked="0"/>
    </xf>
    <xf numFmtId="0" fontId="14" fillId="0" borderId="10" xfId="0" applyFont="1" applyBorder="1" applyProtection="1">
      <alignment vertical="center"/>
      <protection locked="0"/>
    </xf>
    <xf numFmtId="38" fontId="14" fillId="0" borderId="13" xfId="1" applyFont="1" applyBorder="1" applyProtection="1">
      <alignment vertical="center"/>
      <protection locked="0"/>
    </xf>
    <xf numFmtId="176" fontId="22" fillId="0" borderId="13" xfId="0" applyNumberFormat="1" applyFont="1" applyBorder="1" applyProtection="1">
      <alignment vertical="center"/>
      <protection locked="0"/>
    </xf>
    <xf numFmtId="0" fontId="14" fillId="0" borderId="90" xfId="0" applyFont="1" applyBorder="1" applyProtection="1">
      <alignment vertical="center"/>
      <protection locked="0"/>
    </xf>
    <xf numFmtId="38" fontId="14" fillId="0" borderId="91" xfId="1" applyFont="1" applyBorder="1" applyProtection="1">
      <alignment vertical="center"/>
      <protection locked="0"/>
    </xf>
    <xf numFmtId="0" fontId="14" fillId="0" borderId="91" xfId="0" applyFont="1" applyBorder="1" applyProtection="1">
      <alignment vertical="center"/>
      <protection locked="0"/>
    </xf>
    <xf numFmtId="176" fontId="22" fillId="0" borderId="91" xfId="0" applyNumberFormat="1" applyFont="1" applyBorder="1" applyProtection="1">
      <alignment vertical="center"/>
      <protection locked="0"/>
    </xf>
    <xf numFmtId="0" fontId="22" fillId="0" borderId="57" xfId="0" applyFont="1" applyBorder="1" applyProtection="1">
      <alignment vertical="center"/>
      <protection locked="0"/>
    </xf>
    <xf numFmtId="0" fontId="14" fillId="0" borderId="62" xfId="0" applyFont="1" applyBorder="1" applyAlignment="1" applyProtection="1">
      <alignment horizontal="right" vertical="center"/>
      <protection locked="0"/>
    </xf>
    <xf numFmtId="0" fontId="22" fillId="0" borderId="62" xfId="0" applyFont="1" applyBorder="1" applyProtection="1">
      <alignment vertical="center"/>
      <protection locked="0"/>
    </xf>
    <xf numFmtId="176" fontId="22" fillId="0" borderId="62" xfId="0" applyNumberFormat="1" applyFont="1" applyBorder="1" applyProtection="1">
      <alignment vertical="center"/>
      <protection locked="0"/>
    </xf>
    <xf numFmtId="176" fontId="5" fillId="0" borderId="27" xfId="0" applyNumberFormat="1" applyFont="1" applyBorder="1">
      <alignment vertical="center"/>
    </xf>
    <xf numFmtId="177" fontId="7" fillId="0" borderId="20" xfId="0" applyNumberFormat="1" applyFont="1" applyBorder="1">
      <alignment vertical="center"/>
    </xf>
    <xf numFmtId="178" fontId="10" fillId="2" borderId="37" xfId="0" applyNumberFormat="1" applyFont="1" applyFill="1" applyBorder="1">
      <alignment vertical="center"/>
    </xf>
    <xf numFmtId="177" fontId="13" fillId="3" borderId="38" xfId="0" applyNumberFormat="1" applyFont="1" applyFill="1" applyBorder="1">
      <alignment vertical="center"/>
    </xf>
    <xf numFmtId="178" fontId="10" fillId="2" borderId="46" xfId="0" applyNumberFormat="1" applyFont="1" applyFill="1" applyBorder="1">
      <alignment vertical="center"/>
    </xf>
    <xf numFmtId="177" fontId="13" fillId="3" borderId="47" xfId="0" applyNumberFormat="1" applyFont="1" applyFill="1" applyBorder="1">
      <alignment vertical="center"/>
    </xf>
    <xf numFmtId="179" fontId="10" fillId="0" borderId="28" xfId="0" applyNumberFormat="1" applyFont="1" applyBorder="1">
      <alignment vertical="center"/>
    </xf>
    <xf numFmtId="177" fontId="8" fillId="3" borderId="21" xfId="0" applyNumberFormat="1" applyFont="1" applyFill="1" applyBorder="1">
      <alignment vertical="center"/>
    </xf>
    <xf numFmtId="176" fontId="10" fillId="0" borderId="26" xfId="0" applyNumberFormat="1" applyFont="1" applyBorder="1">
      <alignment vertical="center"/>
    </xf>
    <xf numFmtId="177" fontId="5" fillId="3" borderId="19" xfId="0" applyNumberFormat="1" applyFont="1" applyFill="1" applyBorder="1">
      <alignment vertical="center"/>
    </xf>
    <xf numFmtId="180" fontId="5" fillId="3" borderId="19" xfId="0" applyNumberFormat="1" applyFont="1" applyFill="1" applyBorder="1">
      <alignment vertical="center"/>
    </xf>
    <xf numFmtId="176" fontId="5" fillId="0" borderId="87" xfId="0" applyNumberFormat="1" applyFont="1" applyBorder="1">
      <alignment vertical="center"/>
    </xf>
    <xf numFmtId="177" fontId="5" fillId="3" borderId="79" xfId="0" applyNumberFormat="1" applyFont="1" applyFill="1" applyBorder="1">
      <alignment vertical="center"/>
    </xf>
    <xf numFmtId="176" fontId="10" fillId="0" borderId="18" xfId="0" applyNumberFormat="1" applyFont="1" applyBorder="1">
      <alignment vertical="center"/>
    </xf>
    <xf numFmtId="177" fontId="8" fillId="3" borderId="15" xfId="0" applyNumberFormat="1" applyFont="1" applyFill="1" applyBorder="1">
      <alignment vertical="center"/>
    </xf>
    <xf numFmtId="176" fontId="16" fillId="0" borderId="10" xfId="0" applyNumberFormat="1" applyFont="1" applyBorder="1">
      <alignment vertical="center"/>
    </xf>
    <xf numFmtId="177" fontId="14" fillId="3" borderId="9" xfId="0" applyNumberFormat="1" applyFont="1" applyFill="1" applyBorder="1">
      <alignment vertical="center"/>
    </xf>
    <xf numFmtId="176" fontId="10" fillId="0" borderId="0" xfId="0" applyNumberFormat="1" applyFont="1">
      <alignment vertical="center"/>
    </xf>
    <xf numFmtId="177" fontId="5" fillId="0" borderId="0" xfId="0" applyNumberFormat="1" applyFont="1">
      <alignment vertical="center"/>
    </xf>
    <xf numFmtId="176" fontId="5" fillId="0" borderId="0" xfId="0" applyNumberFormat="1" applyFont="1">
      <alignment vertical="center"/>
    </xf>
    <xf numFmtId="178" fontId="10" fillId="2" borderId="1" xfId="0" applyNumberFormat="1" applyFont="1" applyFill="1" applyBorder="1">
      <alignment vertical="center"/>
    </xf>
    <xf numFmtId="176" fontId="15" fillId="3" borderId="1" xfId="0" applyNumberFormat="1" applyFont="1" applyFill="1" applyBorder="1">
      <alignment vertical="center"/>
    </xf>
    <xf numFmtId="176" fontId="22" fillId="0" borderId="13" xfId="0" applyNumberFormat="1" applyFont="1" applyBorder="1">
      <alignment vertical="center"/>
    </xf>
    <xf numFmtId="176" fontId="22" fillId="0" borderId="91" xfId="0" applyNumberFormat="1" applyFont="1" applyBorder="1">
      <alignment vertical="center"/>
    </xf>
    <xf numFmtId="176" fontId="22" fillId="0" borderId="62" xfId="0" applyNumberFormat="1" applyFont="1" applyBorder="1">
      <alignment vertical="center"/>
    </xf>
    <xf numFmtId="0" fontId="5" fillId="0" borderId="17" xfId="0" applyFont="1" applyBorder="1" applyProtection="1">
      <alignment vertical="center"/>
      <protection locked="0"/>
    </xf>
    <xf numFmtId="0" fontId="5" fillId="0" borderId="8" xfId="0" applyFont="1" applyBorder="1" applyProtection="1">
      <alignment vertical="center"/>
      <protection locked="0"/>
    </xf>
    <xf numFmtId="0" fontId="5" fillId="4" borderId="41" xfId="0" applyFont="1" applyFill="1" applyBorder="1" applyAlignment="1" applyProtection="1">
      <alignment horizontal="center" vertical="center"/>
      <protection locked="0"/>
    </xf>
    <xf numFmtId="0" fontId="5" fillId="4" borderId="54" xfId="0" applyFont="1" applyFill="1" applyBorder="1" applyAlignment="1" applyProtection="1">
      <alignment horizontal="center" vertical="center"/>
      <protection locked="0"/>
    </xf>
    <xf numFmtId="176" fontId="5" fillId="0" borderId="15" xfId="0" applyNumberFormat="1" applyFont="1" applyBorder="1" applyAlignment="1" applyProtection="1">
      <alignment horizontal="right" vertical="center"/>
      <protection locked="0"/>
    </xf>
    <xf numFmtId="0" fontId="5" fillId="0" borderId="45" xfId="0" applyFont="1" applyBorder="1" applyProtection="1">
      <alignment vertical="center"/>
      <protection locked="0"/>
    </xf>
    <xf numFmtId="0" fontId="5" fillId="0" borderId="24" xfId="0" applyFont="1" applyBorder="1" applyProtection="1">
      <alignment vertical="center"/>
      <protection locked="0"/>
    </xf>
    <xf numFmtId="0" fontId="5" fillId="0" borderId="29" xfId="0" applyFont="1" applyBorder="1" applyAlignment="1" applyProtection="1">
      <alignment horizontal="right" vertical="center"/>
      <protection locked="0"/>
    </xf>
    <xf numFmtId="0" fontId="5" fillId="4" borderId="31" xfId="0" applyFont="1" applyFill="1" applyBorder="1" applyAlignment="1" applyProtection="1">
      <alignment horizontal="center" vertical="center"/>
      <protection locked="0"/>
    </xf>
    <xf numFmtId="176" fontId="6" fillId="0" borderId="33" xfId="0" applyNumberFormat="1" applyFont="1" applyBorder="1" applyProtection="1">
      <alignment vertical="center"/>
      <protection locked="0"/>
    </xf>
    <xf numFmtId="0" fontId="5" fillId="0" borderId="39" xfId="0" applyFont="1" applyBorder="1" applyAlignment="1" applyProtection="1">
      <alignment horizontal="center" vertical="center"/>
      <protection locked="0"/>
    </xf>
    <xf numFmtId="176" fontId="6" fillId="0" borderId="94" xfId="0" applyNumberFormat="1" applyFont="1" applyBorder="1" applyProtection="1">
      <alignment vertical="center"/>
      <protection locked="0"/>
    </xf>
    <xf numFmtId="178" fontId="10" fillId="0" borderId="0" xfId="0" applyNumberFormat="1" applyFont="1" applyProtection="1">
      <alignment vertical="center"/>
      <protection locked="0"/>
    </xf>
    <xf numFmtId="178" fontId="5" fillId="0" borderId="0" xfId="0" applyNumberFormat="1" applyFont="1" applyProtection="1">
      <alignment vertical="center"/>
      <protection locked="0"/>
    </xf>
    <xf numFmtId="176" fontId="5" fillId="0" borderId="13" xfId="0" applyNumberFormat="1" applyFont="1" applyBorder="1" applyProtection="1">
      <alignment vertical="center"/>
      <protection locked="0"/>
    </xf>
    <xf numFmtId="0" fontId="11" fillId="0" borderId="91" xfId="0" applyFont="1" applyBorder="1" applyProtection="1">
      <alignment vertical="center"/>
      <protection locked="0"/>
    </xf>
    <xf numFmtId="176" fontId="5" fillId="0" borderId="91" xfId="0" applyNumberFormat="1" applyFont="1" applyBorder="1" applyProtection="1">
      <alignment vertical="center"/>
      <protection locked="0"/>
    </xf>
    <xf numFmtId="178" fontId="10" fillId="2" borderId="32" xfId="0" applyNumberFormat="1" applyFont="1" applyFill="1" applyBorder="1">
      <alignment vertical="center"/>
    </xf>
    <xf numFmtId="177" fontId="13" fillId="3" borderId="33" xfId="0" applyNumberFormat="1" applyFont="1" applyFill="1" applyBorder="1">
      <alignment vertical="center"/>
    </xf>
    <xf numFmtId="178" fontId="10" fillId="0" borderId="42" xfId="0" applyNumberFormat="1" applyFont="1" applyBorder="1">
      <alignment vertical="center"/>
    </xf>
    <xf numFmtId="177" fontId="13" fillId="0" borderId="94" xfId="0" applyNumberFormat="1" applyFont="1" applyBorder="1">
      <alignment vertical="center"/>
    </xf>
    <xf numFmtId="178" fontId="10" fillId="0" borderId="55" xfId="0" applyNumberFormat="1" applyFont="1" applyBorder="1">
      <alignment vertical="center"/>
    </xf>
    <xf numFmtId="177" fontId="13" fillId="0" borderId="56" xfId="0" applyNumberFormat="1" applyFont="1" applyBorder="1">
      <alignment vertical="center"/>
    </xf>
    <xf numFmtId="178" fontId="10" fillId="2" borderId="55" xfId="0" applyNumberFormat="1" applyFont="1" applyFill="1" applyBorder="1">
      <alignment vertical="center"/>
    </xf>
    <xf numFmtId="177" fontId="13" fillId="3" borderId="56" xfId="0" applyNumberFormat="1" applyFont="1" applyFill="1" applyBorder="1">
      <alignment vertical="center"/>
    </xf>
    <xf numFmtId="178" fontId="10" fillId="0" borderId="28" xfId="0" applyNumberFormat="1" applyFont="1" applyBorder="1">
      <alignment vertical="center"/>
    </xf>
    <xf numFmtId="178" fontId="10" fillId="0" borderId="32" xfId="0" applyNumberFormat="1" applyFont="1" applyBorder="1">
      <alignment vertical="center"/>
    </xf>
    <xf numFmtId="177" fontId="5" fillId="3" borderId="33" xfId="0" applyNumberFormat="1" applyFont="1" applyFill="1" applyBorder="1">
      <alignment vertical="center"/>
    </xf>
    <xf numFmtId="180" fontId="5" fillId="3" borderId="94" xfId="0" applyNumberFormat="1" applyFont="1" applyFill="1" applyBorder="1">
      <alignment vertical="center"/>
    </xf>
    <xf numFmtId="177" fontId="5" fillId="0" borderId="79" xfId="0" applyNumberFormat="1" applyFont="1" applyBorder="1">
      <alignment vertical="center"/>
    </xf>
    <xf numFmtId="178" fontId="10" fillId="0" borderId="18" xfId="0" applyNumberFormat="1" applyFont="1" applyBorder="1">
      <alignment vertical="center"/>
    </xf>
    <xf numFmtId="178" fontId="16" fillId="0" borderId="10" xfId="0" applyNumberFormat="1" applyFont="1" applyBorder="1">
      <alignment vertical="center"/>
    </xf>
    <xf numFmtId="0" fontId="5" fillId="4" borderId="34" xfId="0" applyFont="1" applyFill="1" applyBorder="1" applyAlignment="1" applyProtection="1">
      <alignment horizontal="center" vertical="center"/>
      <protection locked="0"/>
    </xf>
    <xf numFmtId="0" fontId="5" fillId="0" borderId="49" xfId="0" applyFont="1" applyBorder="1" applyProtection="1">
      <alignment vertical="center"/>
      <protection locked="0"/>
    </xf>
    <xf numFmtId="176" fontId="5" fillId="0" borderId="52" xfId="0" applyNumberFormat="1" applyFont="1" applyBorder="1" applyAlignment="1" applyProtection="1">
      <alignment horizontal="right" vertical="center"/>
      <protection locked="0"/>
    </xf>
    <xf numFmtId="0" fontId="15" fillId="0" borderId="10"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176" fontId="11" fillId="0" borderId="9" xfId="0" applyNumberFormat="1" applyFont="1" applyBorder="1" applyAlignment="1" applyProtection="1">
      <alignment horizontal="left" vertical="center"/>
      <protection locked="0"/>
    </xf>
    <xf numFmtId="179" fontId="10" fillId="0" borderId="51" xfId="0" applyNumberFormat="1" applyFont="1" applyBorder="1">
      <alignment vertical="center"/>
    </xf>
    <xf numFmtId="177" fontId="13" fillId="3" borderId="52" xfId="0" applyNumberFormat="1" applyFont="1" applyFill="1" applyBorder="1">
      <alignment vertical="center"/>
    </xf>
    <xf numFmtId="0" fontId="2" fillId="0" borderId="0" xfId="0" applyFont="1" applyProtection="1">
      <alignment vertical="center"/>
      <protection locked="0"/>
    </xf>
    <xf numFmtId="0" fontId="5" fillId="0" borderId="1" xfId="0" applyFont="1" applyBorder="1" applyAlignment="1" applyProtection="1">
      <alignment horizontal="center" vertical="center" wrapText="1"/>
      <protection locked="0"/>
    </xf>
    <xf numFmtId="0" fontId="5" fillId="0" borderId="8"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35" xfId="0" applyFont="1" applyBorder="1" applyProtection="1">
      <alignment vertical="center"/>
      <protection locked="0"/>
    </xf>
    <xf numFmtId="0" fontId="5" fillId="5" borderId="100" xfId="0" applyFont="1" applyFill="1" applyBorder="1" applyAlignment="1" applyProtection="1">
      <alignment horizontal="right" vertical="center"/>
      <protection locked="0"/>
    </xf>
    <xf numFmtId="0" fontId="5" fillId="5" borderId="67" xfId="0" applyFont="1" applyFill="1" applyBorder="1" applyAlignment="1" applyProtection="1">
      <alignment horizontal="right" vertical="center"/>
      <protection locked="0"/>
    </xf>
    <xf numFmtId="0" fontId="5" fillId="0" borderId="75" xfId="0"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0" fontId="5" fillId="0" borderId="40" xfId="0" applyFont="1" applyBorder="1" applyProtection="1">
      <alignment vertical="center"/>
      <protection locked="0"/>
    </xf>
    <xf numFmtId="0" fontId="5" fillId="5" borderId="77" xfId="0" applyFont="1" applyFill="1" applyBorder="1" applyAlignment="1" applyProtection="1">
      <alignment horizontal="right" vertical="center"/>
      <protection locked="0"/>
    </xf>
    <xf numFmtId="0" fontId="5" fillId="0" borderId="0" xfId="0" applyFont="1" applyAlignment="1" applyProtection="1">
      <alignment vertical="center" wrapText="1"/>
      <protection locked="0"/>
    </xf>
    <xf numFmtId="0" fontId="5" fillId="0" borderId="16" xfId="0" applyFont="1" applyBorder="1" applyProtection="1">
      <alignment vertical="center"/>
      <protection locked="0"/>
    </xf>
    <xf numFmtId="0" fontId="5" fillId="0" borderId="29" xfId="0" applyFont="1" applyBorder="1" applyProtection="1">
      <alignment vertical="center"/>
      <protection locked="0"/>
    </xf>
    <xf numFmtId="176" fontId="5" fillId="0" borderId="35" xfId="0" applyNumberFormat="1" applyFont="1" applyBorder="1" applyProtection="1">
      <alignment vertical="center"/>
      <protection locked="0"/>
    </xf>
    <xf numFmtId="0" fontId="5" fillId="0" borderId="36" xfId="0" applyFont="1" applyBorder="1" applyProtection="1">
      <alignment vertical="center"/>
      <protection locked="0"/>
    </xf>
    <xf numFmtId="176" fontId="20" fillId="0" borderId="96" xfId="0" applyNumberFormat="1" applyFont="1" applyBorder="1" applyAlignment="1" applyProtection="1">
      <alignment horizontal="right" vertical="center"/>
      <protection locked="0"/>
    </xf>
    <xf numFmtId="0" fontId="5" fillId="0" borderId="53" xfId="0" applyFont="1" applyBorder="1" applyProtection="1">
      <alignment vertical="center"/>
      <protection locked="0"/>
    </xf>
    <xf numFmtId="0" fontId="5" fillId="0" borderId="11" xfId="0" applyFont="1" applyBorder="1" applyProtection="1">
      <alignment vertical="center"/>
      <protection locked="0"/>
    </xf>
    <xf numFmtId="0" fontId="5" fillId="0" borderId="16" xfId="0" applyFont="1" applyBorder="1" applyAlignment="1" applyProtection="1">
      <alignment horizontal="left" vertical="center"/>
      <protection locked="0"/>
    </xf>
    <xf numFmtId="176" fontId="6" fillId="0" borderId="4" xfId="0" applyNumberFormat="1" applyFont="1" applyBorder="1" applyProtection="1">
      <alignment vertical="center"/>
      <protection locked="0"/>
    </xf>
    <xf numFmtId="176" fontId="6" fillId="0" borderId="20" xfId="0" applyNumberFormat="1" applyFont="1" applyBorder="1" applyProtection="1">
      <alignment vertical="center"/>
      <protection locked="0"/>
    </xf>
    <xf numFmtId="0" fontId="5" fillId="4" borderId="5" xfId="0" applyFont="1" applyFill="1" applyBorder="1" applyAlignment="1" applyProtection="1">
      <alignment horizontal="center" vertical="center"/>
      <protection locked="0"/>
    </xf>
    <xf numFmtId="176" fontId="6" fillId="0" borderId="21" xfId="0" applyNumberFormat="1" applyFont="1" applyBorder="1" applyProtection="1">
      <alignment vertical="center"/>
      <protection locked="0"/>
    </xf>
    <xf numFmtId="181" fontId="5" fillId="5" borderId="1" xfId="0" applyNumberFormat="1" applyFont="1" applyFill="1" applyBorder="1" applyAlignment="1" applyProtection="1">
      <alignment horizontal="right" vertical="center"/>
      <protection locked="0"/>
    </xf>
    <xf numFmtId="0" fontId="5" fillId="0" borderId="85" xfId="0" applyFont="1" applyBorder="1" applyAlignment="1" applyProtection="1">
      <alignment horizontal="left" vertical="center"/>
      <protection locked="0"/>
    </xf>
    <xf numFmtId="0" fontId="5" fillId="0" borderId="86" xfId="0" applyFont="1" applyBorder="1" applyAlignment="1" applyProtection="1">
      <alignment horizontal="left" vertical="center"/>
      <protection locked="0"/>
    </xf>
    <xf numFmtId="0" fontId="5" fillId="0" borderId="86" xfId="0" applyFont="1" applyBorder="1" applyAlignment="1" applyProtection="1">
      <alignment horizontal="center" vertical="center"/>
      <protection locked="0"/>
    </xf>
    <xf numFmtId="176" fontId="6" fillId="0" borderId="52" xfId="0" applyNumberFormat="1" applyFont="1" applyBorder="1" applyProtection="1">
      <alignment vertical="center"/>
      <protection locked="0"/>
    </xf>
    <xf numFmtId="176" fontId="5" fillId="0" borderId="62" xfId="0" applyNumberFormat="1" applyFont="1" applyBorder="1" applyProtection="1">
      <alignment vertical="center"/>
      <protection locked="0"/>
    </xf>
    <xf numFmtId="38" fontId="14" fillId="0" borderId="10" xfId="1" applyFont="1" applyBorder="1" applyProtection="1">
      <alignment vertical="center"/>
      <protection locked="0"/>
    </xf>
    <xf numFmtId="38" fontId="14" fillId="0" borderId="13" xfId="1" applyFont="1" applyFill="1" applyBorder="1" applyProtection="1">
      <alignment vertical="center"/>
      <protection locked="0"/>
    </xf>
    <xf numFmtId="38" fontId="22" fillId="0" borderId="13" xfId="1" applyFont="1" applyBorder="1" applyProtection="1">
      <alignment vertical="center"/>
      <protection locked="0"/>
    </xf>
    <xf numFmtId="38" fontId="14" fillId="0" borderId="90" xfId="1" applyFont="1" applyBorder="1" applyProtection="1">
      <alignment vertical="center"/>
      <protection locked="0"/>
    </xf>
    <xf numFmtId="38" fontId="14" fillId="0" borderId="91" xfId="1" applyFont="1" applyFill="1" applyBorder="1" applyProtection="1">
      <alignment vertical="center"/>
      <protection locked="0"/>
    </xf>
    <xf numFmtId="38" fontId="22" fillId="0" borderId="91" xfId="1" applyFont="1" applyBorder="1" applyProtection="1">
      <alignment vertical="center"/>
      <protection locked="0"/>
    </xf>
    <xf numFmtId="38" fontId="22" fillId="0" borderId="57" xfId="1" applyFont="1" applyBorder="1" applyProtection="1">
      <alignment vertical="center"/>
      <protection locked="0"/>
    </xf>
    <xf numFmtId="38" fontId="14" fillId="0" borderId="62" xfId="1" applyFont="1" applyBorder="1" applyAlignment="1" applyProtection="1">
      <alignment horizontal="center" vertical="center"/>
      <protection locked="0"/>
    </xf>
    <xf numFmtId="38" fontId="22" fillId="0" borderId="62" xfId="1" applyFont="1" applyBorder="1" applyProtection="1">
      <alignment vertical="center"/>
      <protection locked="0"/>
    </xf>
    <xf numFmtId="176" fontId="5" fillId="2" borderId="101" xfId="0" applyNumberFormat="1" applyFont="1" applyFill="1" applyBorder="1" applyAlignment="1">
      <alignment horizontal="right" vertical="center"/>
    </xf>
    <xf numFmtId="0" fontId="5" fillId="2" borderId="101" xfId="0" applyFont="1" applyFill="1" applyBorder="1" applyAlignment="1">
      <alignment horizontal="right" vertical="center"/>
    </xf>
    <xf numFmtId="176" fontId="20" fillId="2" borderId="95" xfId="0" applyNumberFormat="1" applyFont="1" applyFill="1" applyBorder="1" applyAlignment="1">
      <alignment horizontal="right" vertical="center"/>
    </xf>
    <xf numFmtId="176" fontId="20" fillId="2" borderId="96" xfId="0" applyNumberFormat="1" applyFont="1" applyFill="1" applyBorder="1" applyAlignment="1">
      <alignment horizontal="right" vertical="center"/>
    </xf>
    <xf numFmtId="176" fontId="20" fillId="2" borderId="99" xfId="0" applyNumberFormat="1" applyFont="1" applyFill="1" applyBorder="1" applyAlignment="1">
      <alignment horizontal="right" vertical="center"/>
    </xf>
    <xf numFmtId="176" fontId="20" fillId="2" borderId="97" xfId="0" applyNumberFormat="1" applyFont="1" applyFill="1" applyBorder="1" applyAlignment="1">
      <alignment horizontal="right" vertical="center"/>
    </xf>
    <xf numFmtId="178" fontId="10" fillId="0" borderId="37" xfId="0" applyNumberFormat="1" applyFont="1" applyBorder="1">
      <alignment vertical="center"/>
    </xf>
    <xf numFmtId="177" fontId="13" fillId="0" borderId="38" xfId="0" applyNumberFormat="1" applyFont="1" applyBorder="1">
      <alignment vertical="center"/>
    </xf>
    <xf numFmtId="176" fontId="5" fillId="0" borderId="26" xfId="0" applyNumberFormat="1" applyFont="1" applyBorder="1">
      <alignment vertical="center"/>
    </xf>
    <xf numFmtId="176" fontId="20" fillId="2" borderId="87" xfId="0" applyNumberFormat="1" applyFont="1" applyFill="1" applyBorder="1" applyAlignment="1">
      <alignment horizontal="right" vertical="center"/>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0" fontId="5" fillId="0" borderId="83" xfId="0" applyFont="1" applyBorder="1" applyAlignment="1" applyProtection="1">
      <alignment horizontal="center" vertical="center"/>
      <protection locked="0"/>
    </xf>
    <xf numFmtId="0" fontId="5" fillId="0" borderId="16" xfId="0" applyFont="1" applyBorder="1" applyAlignment="1" applyProtection="1">
      <alignment horizontal="right" vertical="center"/>
      <protection locked="0"/>
    </xf>
    <xf numFmtId="176" fontId="5" fillId="0" borderId="83" xfId="0" applyNumberFormat="1" applyFont="1" applyBorder="1" applyProtection="1">
      <alignment vertical="center"/>
      <protection locked="0"/>
    </xf>
    <xf numFmtId="0" fontId="5" fillId="0" borderId="84" xfId="0" applyFont="1" applyBorder="1" applyProtection="1">
      <alignment vertical="center"/>
      <protection locked="0"/>
    </xf>
    <xf numFmtId="0" fontId="5" fillId="0" borderId="48" xfId="0" applyFont="1" applyBorder="1" applyAlignment="1" applyProtection="1">
      <alignment horizontal="left" vertical="center"/>
      <protection locked="0"/>
    </xf>
    <xf numFmtId="0" fontId="5" fillId="0" borderId="50" xfId="0" applyFont="1" applyBorder="1" applyAlignment="1" applyProtection="1">
      <alignment horizontal="left" vertical="center"/>
      <protection locked="0"/>
    </xf>
    <xf numFmtId="0" fontId="5" fillId="0" borderId="52" xfId="0" applyFont="1" applyBorder="1" applyProtection="1">
      <alignment vertical="center"/>
      <protection locked="0"/>
    </xf>
    <xf numFmtId="0" fontId="5" fillId="0" borderId="15" xfId="0" applyFont="1" applyBorder="1" applyProtection="1">
      <alignment vertical="center"/>
      <protection locked="0"/>
    </xf>
    <xf numFmtId="0" fontId="15" fillId="0" borderId="13" xfId="0" applyFont="1" applyBorder="1" applyProtection="1">
      <alignment vertical="center"/>
      <protection locked="0"/>
    </xf>
    <xf numFmtId="0" fontId="11" fillId="0" borderId="9" xfId="0" applyFont="1" applyBorder="1" applyProtection="1">
      <alignment vertical="center"/>
      <protection locked="0"/>
    </xf>
    <xf numFmtId="176" fontId="11" fillId="0" borderId="13" xfId="0" applyNumberFormat="1" applyFont="1" applyBorder="1" applyProtection="1">
      <alignment vertical="center"/>
      <protection locked="0"/>
    </xf>
    <xf numFmtId="176" fontId="11" fillId="0" borderId="91" xfId="0" applyNumberFormat="1" applyFont="1" applyBorder="1" applyProtection="1">
      <alignment vertical="center"/>
      <protection locked="0"/>
    </xf>
    <xf numFmtId="0" fontId="14" fillId="0" borderId="62" xfId="0" applyFont="1" applyBorder="1" applyAlignment="1" applyProtection="1">
      <alignment horizontal="center" vertical="center"/>
      <protection locked="0"/>
    </xf>
    <xf numFmtId="177" fontId="7" fillId="0" borderId="19" xfId="0" applyNumberFormat="1" applyFont="1" applyBorder="1">
      <alignment vertical="center"/>
    </xf>
    <xf numFmtId="176" fontId="10" fillId="0" borderId="51" xfId="0" applyNumberFormat="1" applyFont="1" applyBorder="1">
      <alignment vertical="center"/>
    </xf>
    <xf numFmtId="177" fontId="5" fillId="3" borderId="52" xfId="0" applyNumberFormat="1" applyFont="1" applyFill="1" applyBorder="1">
      <alignment vertical="center"/>
    </xf>
    <xf numFmtId="176" fontId="14" fillId="3" borderId="9" xfId="0" applyNumberFormat="1" applyFont="1" applyFill="1" applyBorder="1">
      <alignment vertical="center"/>
    </xf>
    <xf numFmtId="0" fontId="5" fillId="0" borderId="61" xfId="0" applyFont="1" applyBorder="1" applyAlignment="1" applyProtection="1">
      <alignment horizontal="center" vertical="center"/>
      <protection locked="0"/>
    </xf>
    <xf numFmtId="0" fontId="5" fillId="5" borderId="73" xfId="0" applyFont="1" applyFill="1" applyBorder="1" applyAlignment="1" applyProtection="1">
      <alignment horizontal="right" vertical="center"/>
      <protection locked="0"/>
    </xf>
    <xf numFmtId="0" fontId="5" fillId="0" borderId="24" xfId="0" applyFont="1" applyBorder="1" applyAlignment="1" applyProtection="1">
      <alignment horizontal="left" vertical="center"/>
      <protection locked="0"/>
    </xf>
    <xf numFmtId="0" fontId="5" fillId="0" borderId="25" xfId="0" applyFont="1" applyBorder="1" applyProtection="1">
      <alignment vertical="center"/>
      <protection locked="0"/>
    </xf>
    <xf numFmtId="0" fontId="5" fillId="0" borderId="59" xfId="0" applyFont="1" applyBorder="1" applyAlignment="1" applyProtection="1">
      <alignment horizontal="center" vertical="center" wrapText="1"/>
      <protection locked="0"/>
    </xf>
    <xf numFmtId="176" fontId="5" fillId="0" borderId="60" xfId="0" applyNumberFormat="1" applyFont="1" applyBorder="1" applyAlignment="1" applyProtection="1">
      <alignment horizontal="center" vertical="center" wrapText="1"/>
      <protection locked="0"/>
    </xf>
    <xf numFmtId="0" fontId="5" fillId="0" borderId="27" xfId="0" applyFont="1" applyBorder="1" applyAlignment="1" applyProtection="1">
      <alignment horizontal="right" vertical="center"/>
      <protection locked="0"/>
    </xf>
    <xf numFmtId="0" fontId="5" fillId="0" borderId="18" xfId="0" applyFont="1" applyBorder="1" applyAlignment="1" applyProtection="1">
      <alignment horizontal="right" vertical="center"/>
      <protection locked="0"/>
    </xf>
    <xf numFmtId="0" fontId="5" fillId="0" borderId="70" xfId="0" applyFont="1" applyBorder="1" applyProtection="1">
      <alignment vertical="center"/>
      <protection locked="0"/>
    </xf>
    <xf numFmtId="0" fontId="5" fillId="4" borderId="36" xfId="0" applyFont="1" applyFill="1" applyBorder="1" applyAlignment="1" applyProtection="1">
      <alignment horizontal="center" vertical="center"/>
      <protection locked="0"/>
    </xf>
    <xf numFmtId="0" fontId="5" fillId="0" borderId="69" xfId="0" applyFont="1" applyBorder="1" applyProtection="1">
      <alignment vertical="center"/>
      <protection locked="0"/>
    </xf>
    <xf numFmtId="0" fontId="5" fillId="0" borderId="63" xfId="0" applyFont="1" applyBorder="1" applyProtection="1">
      <alignment vertical="center"/>
      <protection locked="0"/>
    </xf>
    <xf numFmtId="0" fontId="5" fillId="0" borderId="66" xfId="0" applyFont="1" applyBorder="1" applyProtection="1">
      <alignment vertical="center"/>
      <protection locked="0"/>
    </xf>
    <xf numFmtId="0" fontId="8" fillId="0" borderId="57" xfId="0" applyFont="1" applyBorder="1" applyProtection="1">
      <alignment vertical="center"/>
      <protection locked="0"/>
    </xf>
    <xf numFmtId="0" fontId="5" fillId="0" borderId="62" xfId="0" applyFont="1" applyBorder="1" applyProtection="1">
      <alignment vertical="center"/>
      <protection locked="0"/>
    </xf>
    <xf numFmtId="176" fontId="5" fillId="0" borderId="0" xfId="0" applyNumberFormat="1" applyFont="1" applyAlignment="1" applyProtection="1">
      <alignment horizontal="center" vertical="center"/>
      <protection locked="0"/>
    </xf>
    <xf numFmtId="0" fontId="11" fillId="0" borderId="10" xfId="0" applyFont="1" applyBorder="1" applyProtection="1">
      <alignment vertical="center"/>
      <protection locked="0"/>
    </xf>
    <xf numFmtId="0" fontId="5" fillId="2" borderId="74" xfId="0" applyFont="1" applyFill="1" applyBorder="1" applyAlignment="1">
      <alignment horizontal="right" vertical="center"/>
    </xf>
    <xf numFmtId="176" fontId="5" fillId="0" borderId="61" xfId="0" applyNumberFormat="1" applyFont="1" applyBorder="1" applyAlignment="1">
      <alignment horizontal="center" vertical="center" wrapText="1"/>
    </xf>
    <xf numFmtId="177" fontId="5" fillId="3" borderId="67" xfId="0" applyNumberFormat="1" applyFont="1" applyFill="1" applyBorder="1">
      <alignment vertical="center"/>
    </xf>
    <xf numFmtId="177" fontId="5" fillId="3" borderId="68" xfId="0" applyNumberFormat="1" applyFont="1" applyFill="1" applyBorder="1">
      <alignment vertical="center"/>
    </xf>
    <xf numFmtId="177" fontId="8" fillId="3" borderId="3" xfId="0" applyNumberFormat="1" applyFont="1" applyFill="1" applyBorder="1">
      <alignment vertical="center"/>
    </xf>
    <xf numFmtId="0" fontId="5" fillId="0" borderId="0" xfId="0" applyFont="1" applyAlignment="1" applyProtection="1">
      <alignment horizontal="left" vertical="top" wrapText="1"/>
      <protection locked="0"/>
    </xf>
    <xf numFmtId="0" fontId="5" fillId="4" borderId="103" xfId="0" applyFont="1" applyFill="1" applyBorder="1" applyAlignment="1" applyProtection="1">
      <alignment horizontal="center" vertical="center"/>
      <protection locked="0"/>
    </xf>
    <xf numFmtId="0" fontId="5" fillId="0" borderId="11" xfId="0" applyFont="1" applyBorder="1" applyAlignment="1" applyProtection="1">
      <alignment horizontal="center" vertical="center" wrapText="1"/>
      <protection locked="0"/>
    </xf>
    <xf numFmtId="0" fontId="0" fillId="0" borderId="84" xfId="0" applyBorder="1" applyProtection="1">
      <alignment vertical="center"/>
      <protection locked="0"/>
    </xf>
    <xf numFmtId="0" fontId="0" fillId="0" borderId="18" xfId="0" applyBorder="1" applyProtection="1">
      <alignment vertical="center"/>
      <protection locked="0"/>
    </xf>
    <xf numFmtId="0" fontId="0" fillId="0" borderId="15" xfId="0" applyBorder="1" applyProtection="1">
      <alignment vertical="center"/>
      <protection locked="0"/>
    </xf>
    <xf numFmtId="0" fontId="5" fillId="0" borderId="46" xfId="0" applyFont="1" applyBorder="1" applyProtection="1">
      <alignment vertical="center"/>
      <protection locked="0"/>
    </xf>
    <xf numFmtId="0" fontId="6" fillId="0" borderId="104" xfId="0" applyFont="1" applyBorder="1" applyAlignment="1" applyProtection="1">
      <alignment horizontal="left" vertical="center"/>
      <protection locked="0"/>
    </xf>
    <xf numFmtId="0" fontId="0" fillId="0" borderId="26" xfId="0" applyBorder="1" applyProtection="1">
      <alignment vertical="center"/>
      <protection locked="0"/>
    </xf>
    <xf numFmtId="0" fontId="0" fillId="0" borderId="19" xfId="0" applyBorder="1" applyProtection="1">
      <alignment vertical="center"/>
      <protection locked="0"/>
    </xf>
    <xf numFmtId="176" fontId="5" fillId="0" borderId="86" xfId="0" applyNumberFormat="1" applyFont="1" applyBorder="1" applyAlignment="1" applyProtection="1">
      <alignment horizontal="center" vertical="center"/>
      <protection locked="0"/>
    </xf>
    <xf numFmtId="0" fontId="0" fillId="0" borderId="79" xfId="0" applyBorder="1" applyProtection="1">
      <alignment vertical="center"/>
      <protection locked="0"/>
    </xf>
    <xf numFmtId="0" fontId="0" fillId="0" borderId="87" xfId="0" applyBorder="1" applyProtection="1">
      <alignment vertical="center"/>
      <protection locked="0"/>
    </xf>
    <xf numFmtId="176" fontId="5" fillId="0" borderId="10" xfId="0" applyNumberFormat="1" applyFont="1" applyBorder="1" applyProtection="1">
      <alignment vertical="center"/>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5" fillId="0" borderId="105" xfId="0" applyFont="1" applyBorder="1" applyAlignment="1" applyProtection="1">
      <alignment horizontal="right" vertical="center"/>
      <protection locked="0"/>
    </xf>
    <xf numFmtId="0" fontId="5" fillId="0" borderId="35" xfId="0" applyFont="1" applyBorder="1" applyAlignment="1" applyProtection="1">
      <alignment horizontal="right" vertical="center"/>
      <protection locked="0"/>
    </xf>
    <xf numFmtId="0" fontId="5" fillId="0" borderId="106" xfId="0" applyFont="1" applyBorder="1" applyAlignment="1" applyProtection="1">
      <alignment horizontal="right" vertical="center"/>
      <protection locked="0"/>
    </xf>
    <xf numFmtId="0" fontId="5" fillId="0" borderId="26" xfId="0" applyFont="1" applyBorder="1" applyProtection="1">
      <alignment vertical="center"/>
      <protection locked="0"/>
    </xf>
    <xf numFmtId="0" fontId="5" fillId="0" borderId="55" xfId="0" applyFont="1" applyBorder="1" applyProtection="1">
      <alignment vertical="center"/>
      <protection locked="0"/>
    </xf>
    <xf numFmtId="0" fontId="5" fillId="0" borderId="18" xfId="0" applyFont="1" applyBorder="1" applyProtection="1">
      <alignment vertical="center"/>
      <protection locked="0"/>
    </xf>
    <xf numFmtId="0" fontId="5" fillId="4" borderId="37" xfId="0" applyFont="1" applyFill="1" applyBorder="1" applyAlignment="1" applyProtection="1">
      <alignment horizontal="center" vertical="center"/>
      <protection locked="0"/>
    </xf>
    <xf numFmtId="0" fontId="5" fillId="0" borderId="37" xfId="0" applyFont="1" applyBorder="1" applyProtection="1">
      <alignment vertical="center"/>
      <protection locked="0"/>
    </xf>
    <xf numFmtId="0" fontId="5" fillId="0" borderId="107" xfId="0" applyFont="1" applyBorder="1" applyProtection="1">
      <alignment vertical="center"/>
      <protection locked="0"/>
    </xf>
    <xf numFmtId="0" fontId="5" fillId="4" borderId="108" xfId="0" applyFont="1" applyFill="1" applyBorder="1" applyAlignment="1" applyProtection="1">
      <alignment horizontal="center" vertical="center"/>
      <protection locked="0"/>
    </xf>
    <xf numFmtId="0" fontId="5" fillId="0" borderId="51" xfId="0" applyFont="1" applyBorder="1" applyProtection="1">
      <alignment vertical="center"/>
      <protection locked="0"/>
    </xf>
    <xf numFmtId="0" fontId="5" fillId="0" borderId="2" xfId="0" applyFont="1" applyBorder="1" applyAlignment="1">
      <alignment horizontal="center" vertical="center" wrapText="1"/>
    </xf>
    <xf numFmtId="0" fontId="5" fillId="4" borderId="83" xfId="0" applyFont="1" applyFill="1" applyBorder="1" applyAlignment="1" applyProtection="1">
      <alignment horizontal="center" vertical="center"/>
      <protection locked="0"/>
    </xf>
    <xf numFmtId="0" fontId="5" fillId="0" borderId="25" xfId="0" applyFont="1" applyBorder="1" applyAlignment="1" applyProtection="1">
      <alignment horizontal="center" vertical="center" wrapText="1"/>
      <protection locked="0"/>
    </xf>
    <xf numFmtId="0" fontId="5" fillId="0" borderId="109" xfId="0" applyFont="1" applyBorder="1" applyAlignment="1" applyProtection="1">
      <alignment horizontal="center" vertical="center"/>
      <protection locked="0"/>
    </xf>
    <xf numFmtId="0" fontId="5" fillId="0" borderId="30" xfId="0" applyFont="1" applyBorder="1" applyProtection="1">
      <alignment vertical="center"/>
      <protection locked="0"/>
    </xf>
    <xf numFmtId="0" fontId="5" fillId="0" borderId="105" xfId="0" applyFont="1" applyBorder="1" applyProtection="1">
      <alignment vertical="center"/>
      <protection locked="0"/>
    </xf>
    <xf numFmtId="0" fontId="5" fillId="0" borderId="106" xfId="0" applyFont="1" applyBorder="1" applyProtection="1">
      <alignment vertical="center"/>
      <protection locked="0"/>
    </xf>
    <xf numFmtId="0" fontId="5" fillId="0" borderId="110" xfId="0" applyFont="1" applyBorder="1" applyProtection="1">
      <alignment vertical="center"/>
      <protection locked="0"/>
    </xf>
    <xf numFmtId="0" fontId="5" fillId="0" borderId="32" xfId="0" applyFont="1" applyBorder="1" applyProtection="1">
      <alignment vertical="center"/>
      <protection locked="0"/>
    </xf>
    <xf numFmtId="176" fontId="5" fillId="0" borderId="37" xfId="0" applyNumberFormat="1" applyFont="1" applyBorder="1" applyProtection="1">
      <alignment vertical="center"/>
      <protection locked="0"/>
    </xf>
    <xf numFmtId="176" fontId="5" fillId="0" borderId="111" xfId="0" applyNumberFormat="1" applyFont="1" applyBorder="1" applyAlignment="1" applyProtection="1">
      <alignment horizontal="right" vertical="center"/>
      <protection locked="0"/>
    </xf>
    <xf numFmtId="176" fontId="6" fillId="0" borderId="108" xfId="0" applyNumberFormat="1" applyFont="1" applyBorder="1" applyProtection="1">
      <alignment vertical="center"/>
      <protection locked="0"/>
    </xf>
    <xf numFmtId="0" fontId="5" fillId="4" borderId="26" xfId="0" applyFont="1" applyFill="1" applyBorder="1" applyAlignment="1" applyProtection="1">
      <alignment horizontal="center" vertical="center"/>
      <protection locked="0"/>
    </xf>
    <xf numFmtId="0" fontId="5" fillId="0" borderId="87" xfId="0" applyFont="1" applyBorder="1" applyAlignment="1" applyProtection="1">
      <alignment horizontal="center" vertical="center"/>
      <protection locked="0"/>
    </xf>
    <xf numFmtId="0" fontId="5" fillId="0" borderId="107" xfId="0" applyFont="1" applyBorder="1" applyAlignment="1" applyProtection="1">
      <alignment horizontal="center" vertical="center" wrapText="1"/>
      <protection locked="0"/>
    </xf>
    <xf numFmtId="176" fontId="5" fillId="0" borderId="21" xfId="0" applyNumberFormat="1"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176" fontId="5" fillId="0" borderId="7" xfId="0" applyNumberFormat="1" applyFont="1" applyBorder="1" applyAlignment="1" applyProtection="1">
      <alignment horizontal="right" vertical="center"/>
      <protection locked="0"/>
    </xf>
    <xf numFmtId="177" fontId="5" fillId="0" borderId="19" xfId="0" applyNumberFormat="1" applyFont="1" applyBorder="1">
      <alignment vertical="center"/>
    </xf>
    <xf numFmtId="180" fontId="5" fillId="0" borderId="19" xfId="0" applyNumberFormat="1" applyFont="1" applyBorder="1">
      <alignment vertical="center"/>
    </xf>
    <xf numFmtId="0" fontId="5" fillId="0" borderId="0" xfId="0" applyFont="1" applyAlignment="1" applyProtection="1">
      <alignment vertical="top" wrapText="1"/>
      <protection locked="0"/>
    </xf>
    <xf numFmtId="0" fontId="5" fillId="0" borderId="0" xfId="0" applyFont="1" applyAlignment="1" applyProtection="1">
      <alignment vertical="top"/>
      <protection locked="0"/>
    </xf>
    <xf numFmtId="0" fontId="5" fillId="0" borderId="83" xfId="0" applyFont="1" applyBorder="1" applyProtection="1">
      <alignment vertical="center"/>
      <protection locked="0"/>
    </xf>
    <xf numFmtId="0" fontId="5" fillId="2" borderId="34" xfId="0" applyFont="1" applyFill="1" applyBorder="1" applyAlignment="1" applyProtection="1">
      <alignment horizontal="center" vertical="center"/>
      <protection locked="0"/>
    </xf>
    <xf numFmtId="176" fontId="6" fillId="0" borderId="15" xfId="0" applyNumberFormat="1" applyFont="1" applyBorder="1" applyProtection="1">
      <alignment vertical="center"/>
      <protection locked="0"/>
    </xf>
    <xf numFmtId="0" fontId="5" fillId="4" borderId="110" xfId="0" applyFont="1" applyFill="1" applyBorder="1" applyAlignment="1" applyProtection="1">
      <alignment horizontal="center" vertical="center"/>
      <protection locked="0"/>
    </xf>
    <xf numFmtId="0" fontId="5" fillId="4" borderId="28" xfId="0" applyFont="1" applyFill="1" applyBorder="1" applyAlignment="1" applyProtection="1">
      <alignment horizontal="center" vertical="center"/>
      <protection locked="0"/>
    </xf>
    <xf numFmtId="0" fontId="5" fillId="0" borderId="2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2" xfId="0" applyFont="1" applyBorder="1" applyAlignment="1" applyProtection="1">
      <alignment horizontal="left" vertical="center"/>
      <protection locked="0"/>
    </xf>
    <xf numFmtId="0" fontId="0" fillId="0" borderId="27" xfId="0" applyBorder="1" applyProtection="1">
      <alignment vertical="center"/>
      <protection locked="0"/>
    </xf>
    <xf numFmtId="0" fontId="0" fillId="0" borderId="20" xfId="0" applyBorder="1" applyProtection="1">
      <alignment vertical="center"/>
      <protection locked="0"/>
    </xf>
    <xf numFmtId="177" fontId="5" fillId="0" borderId="33" xfId="0" applyNumberFormat="1" applyFont="1" applyBorder="1">
      <alignment vertical="center"/>
    </xf>
    <xf numFmtId="0" fontId="5" fillId="0" borderId="8" xfId="0" applyFont="1" applyBorder="1" applyAlignment="1" applyProtection="1">
      <alignment horizontal="center" vertical="center"/>
      <protection locked="0"/>
    </xf>
    <xf numFmtId="176" fontId="10" fillId="0" borderId="32" xfId="0" applyNumberFormat="1" applyFont="1" applyBorder="1">
      <alignment vertical="center"/>
    </xf>
    <xf numFmtId="0" fontId="5" fillId="0" borderId="30" xfId="0" applyFont="1" applyBorder="1" applyAlignment="1" applyProtection="1">
      <alignment horizontal="left" vertical="center"/>
      <protection locked="0"/>
    </xf>
    <xf numFmtId="0" fontId="5" fillId="0" borderId="26" xfId="0" applyFont="1" applyBorder="1" applyAlignment="1" applyProtection="1">
      <alignment horizontal="right" vertical="center"/>
      <protection locked="0"/>
    </xf>
    <xf numFmtId="176" fontId="5" fillId="0" borderId="113" xfId="0" applyNumberFormat="1" applyFont="1" applyBorder="1" applyAlignment="1" applyProtection="1">
      <alignment horizontal="right" vertical="center"/>
      <protection locked="0"/>
    </xf>
    <xf numFmtId="177" fontId="5" fillId="3" borderId="73" xfId="0" applyNumberFormat="1" applyFont="1" applyFill="1" applyBorder="1">
      <alignment vertical="center"/>
    </xf>
    <xf numFmtId="176" fontId="5" fillId="5" borderId="16" xfId="0" applyNumberFormat="1" applyFont="1" applyFill="1" applyBorder="1" applyAlignment="1" applyProtection="1">
      <alignment horizontal="right" vertical="center"/>
      <protection locked="0"/>
    </xf>
    <xf numFmtId="0" fontId="5" fillId="4" borderId="6" xfId="0" applyFont="1" applyFill="1" applyBorder="1" applyAlignment="1" applyProtection="1">
      <alignment horizontal="center" vertical="center"/>
      <protection locked="0"/>
    </xf>
    <xf numFmtId="0" fontId="5" fillId="0" borderId="114" xfId="0" applyFont="1" applyBorder="1" applyProtection="1">
      <alignment vertical="center"/>
      <protection locked="0"/>
    </xf>
    <xf numFmtId="177" fontId="5" fillId="3" borderId="74" xfId="0" applyNumberFormat="1" applyFont="1" applyFill="1" applyBorder="1">
      <alignment vertical="center"/>
    </xf>
    <xf numFmtId="0" fontId="5" fillId="0" borderId="26" xfId="0" applyFont="1" applyBorder="1" applyAlignment="1" applyProtection="1">
      <alignment horizontal="center" vertical="center"/>
      <protection locked="0"/>
    </xf>
    <xf numFmtId="0" fontId="5" fillId="0" borderId="33" xfId="0" applyFont="1" applyBorder="1" applyAlignment="1" applyProtection="1">
      <alignment horizontal="left" vertical="center"/>
      <protection locked="0"/>
    </xf>
    <xf numFmtId="0" fontId="14" fillId="0" borderId="62" xfId="0" applyFont="1" applyBorder="1" applyProtection="1">
      <alignment vertical="center"/>
      <protection locked="0"/>
    </xf>
    <xf numFmtId="0" fontId="11" fillId="0" borderId="62" xfId="0" applyFont="1" applyBorder="1" applyProtection="1">
      <alignment vertical="center"/>
      <protection locked="0"/>
    </xf>
    <xf numFmtId="178" fontId="10" fillId="2" borderId="3" xfId="0" applyNumberFormat="1" applyFont="1" applyFill="1" applyBorder="1" applyProtection="1">
      <alignment vertical="center"/>
      <protection locked="0"/>
    </xf>
    <xf numFmtId="176" fontId="15" fillId="3" borderId="3" xfId="0" applyNumberFormat="1" applyFont="1" applyFill="1" applyBorder="1">
      <alignment vertical="center"/>
    </xf>
    <xf numFmtId="0" fontId="22" fillId="0" borderId="62" xfId="0" applyFont="1" applyBorder="1" applyAlignment="1" applyProtection="1">
      <alignment horizontal="center" vertical="center"/>
      <protection locked="0"/>
    </xf>
    <xf numFmtId="176" fontId="14" fillId="3" borderId="1" xfId="0" applyNumberFormat="1" applyFont="1" applyFill="1" applyBorder="1">
      <alignment vertical="center"/>
    </xf>
    <xf numFmtId="0" fontId="5" fillId="4" borderId="116" xfId="0" applyFont="1" applyFill="1" applyBorder="1" applyAlignment="1" applyProtection="1">
      <alignment horizontal="center" vertical="center"/>
      <protection locked="0"/>
    </xf>
    <xf numFmtId="177" fontId="5" fillId="3" borderId="38" xfId="0" applyNumberFormat="1" applyFont="1" applyFill="1" applyBorder="1">
      <alignment vertical="center"/>
    </xf>
    <xf numFmtId="0" fontId="15" fillId="0" borderId="0" xfId="0" applyFont="1" applyProtection="1">
      <alignment vertical="center"/>
      <protection locked="0"/>
    </xf>
    <xf numFmtId="0" fontId="11" fillId="0" borderId="0" xfId="0" applyFont="1" applyProtection="1">
      <alignment vertical="center"/>
      <protection locked="0"/>
    </xf>
    <xf numFmtId="176" fontId="11" fillId="0" borderId="0" xfId="0" applyNumberFormat="1" applyFont="1" applyProtection="1">
      <alignment vertical="center"/>
      <protection locked="0"/>
    </xf>
    <xf numFmtId="176" fontId="14" fillId="0" borderId="0" xfId="0" applyNumberFormat="1" applyFont="1">
      <alignment vertical="center"/>
    </xf>
    <xf numFmtId="176" fontId="5" fillId="0" borderId="117" xfId="0" applyNumberFormat="1" applyFont="1" applyBorder="1" applyProtection="1">
      <alignment vertical="center"/>
      <protection locked="0"/>
    </xf>
    <xf numFmtId="176" fontId="5" fillId="0" borderId="21" xfId="0" applyNumberFormat="1" applyFont="1" applyBorder="1" applyProtection="1">
      <alignment vertical="center"/>
      <protection locked="0"/>
    </xf>
    <xf numFmtId="176" fontId="15" fillId="3" borderId="9" xfId="0" applyNumberFormat="1" applyFont="1" applyFill="1" applyBorder="1">
      <alignment vertical="center"/>
    </xf>
    <xf numFmtId="176" fontId="15" fillId="3" borderId="118" xfId="0" applyNumberFormat="1" applyFont="1" applyFill="1" applyBorder="1">
      <alignment vertical="center"/>
    </xf>
    <xf numFmtId="178" fontId="10" fillId="2" borderId="10" xfId="0" applyNumberFormat="1" applyFont="1" applyFill="1" applyBorder="1" applyProtection="1">
      <alignment vertical="center"/>
      <protection locked="0"/>
    </xf>
    <xf numFmtId="178" fontId="10" fillId="2" borderId="57" xfId="0" applyNumberFormat="1" applyFont="1" applyFill="1" applyBorder="1" applyProtection="1">
      <alignment vertical="center"/>
      <protection locked="0"/>
    </xf>
    <xf numFmtId="176" fontId="5" fillId="0" borderId="9" xfId="0" applyNumberFormat="1" applyFont="1" applyBorder="1" applyProtection="1">
      <alignment vertical="center"/>
      <protection locked="0"/>
    </xf>
    <xf numFmtId="176" fontId="5" fillId="0" borderId="118" xfId="0" applyNumberFormat="1" applyFont="1" applyBorder="1" applyProtection="1">
      <alignment vertical="center"/>
      <protection locked="0"/>
    </xf>
    <xf numFmtId="177" fontId="18" fillId="2" borderId="119" xfId="0" applyNumberFormat="1" applyFont="1" applyFill="1" applyBorder="1">
      <alignment vertical="center"/>
    </xf>
    <xf numFmtId="0" fontId="5" fillId="0" borderId="120" xfId="0" applyFont="1" applyBorder="1" applyProtection="1">
      <alignment vertical="center"/>
      <protection locked="0"/>
    </xf>
    <xf numFmtId="0" fontId="5" fillId="0" borderId="113" xfId="0" applyFont="1" applyBorder="1" applyProtection="1">
      <alignment vertical="center"/>
      <protection locked="0"/>
    </xf>
    <xf numFmtId="177" fontId="8" fillId="3" borderId="73" xfId="0" applyNumberFormat="1" applyFont="1" applyFill="1" applyBorder="1">
      <alignment vertical="center"/>
    </xf>
    <xf numFmtId="176" fontId="20" fillId="0" borderId="99" xfId="0" applyNumberFormat="1" applyFont="1" applyBorder="1" applyAlignment="1">
      <alignment horizontal="right" vertical="center"/>
    </xf>
    <xf numFmtId="176" fontId="5" fillId="0" borderId="26" xfId="0" applyNumberFormat="1" applyFont="1" applyBorder="1" applyProtection="1">
      <alignment vertical="center"/>
      <protection locked="0"/>
    </xf>
    <xf numFmtId="0" fontId="0" fillId="0" borderId="83" xfId="0" applyBorder="1" applyProtection="1">
      <alignment vertical="center"/>
      <protection locked="0"/>
    </xf>
    <xf numFmtId="176" fontId="20" fillId="2" borderId="121" xfId="0" applyNumberFormat="1" applyFont="1" applyFill="1" applyBorder="1" applyAlignment="1">
      <alignment horizontal="right" vertical="center"/>
    </xf>
    <xf numFmtId="177" fontId="5" fillId="3" borderId="56" xfId="0" applyNumberFormat="1" applyFont="1" applyFill="1" applyBorder="1">
      <alignment vertical="center"/>
    </xf>
    <xf numFmtId="0" fontId="5" fillId="0" borderId="122" xfId="0" applyFont="1" applyBorder="1" applyProtection="1">
      <alignment vertical="center"/>
      <protection locked="0"/>
    </xf>
    <xf numFmtId="0" fontId="5" fillId="0" borderId="122" xfId="0" applyFont="1" applyBorder="1" applyAlignment="1" applyProtection="1">
      <alignment horizontal="right" vertical="center"/>
      <protection locked="0"/>
    </xf>
    <xf numFmtId="38" fontId="22" fillId="3" borderId="126" xfId="1" applyFont="1" applyFill="1" applyBorder="1" applyProtection="1">
      <alignment vertical="center"/>
    </xf>
    <xf numFmtId="0" fontId="30" fillId="0" borderId="0" xfId="0" applyFont="1" applyAlignment="1" applyProtection="1">
      <alignment horizontal="center" vertical="center"/>
      <protection locked="0"/>
    </xf>
    <xf numFmtId="0" fontId="14" fillId="0" borderId="9" xfId="0" applyFont="1" applyBorder="1" applyProtection="1">
      <alignment vertical="center"/>
      <protection locked="0"/>
    </xf>
    <xf numFmtId="0" fontId="5" fillId="0" borderId="28" xfId="0" applyFont="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181" fontId="5" fillId="5" borderId="24" xfId="0" applyNumberFormat="1" applyFont="1" applyFill="1" applyBorder="1" applyAlignment="1" applyProtection="1">
      <alignment horizontal="right" vertical="center"/>
      <protection locked="0"/>
    </xf>
    <xf numFmtId="180" fontId="8" fillId="3" borderId="65" xfId="0" applyNumberFormat="1" applyFont="1" applyFill="1" applyBorder="1">
      <alignment vertical="center"/>
    </xf>
    <xf numFmtId="180" fontId="8" fillId="3" borderId="73" xfId="0" applyNumberFormat="1" applyFont="1" applyFill="1" applyBorder="1">
      <alignment vertical="center"/>
    </xf>
    <xf numFmtId="176" fontId="20" fillId="0" borderId="124" xfId="0" applyNumberFormat="1" applyFont="1" applyBorder="1" applyAlignment="1">
      <alignment horizontal="right" vertical="center"/>
    </xf>
    <xf numFmtId="178" fontId="10" fillId="0" borderId="123" xfId="0" applyNumberFormat="1" applyFont="1" applyBorder="1">
      <alignment vertical="center"/>
    </xf>
    <xf numFmtId="177" fontId="13" fillId="0" borderId="125" xfId="0" applyNumberFormat="1" applyFont="1" applyBorder="1">
      <alignment vertical="center"/>
    </xf>
    <xf numFmtId="176" fontId="20" fillId="0" borderId="104" xfId="0" applyNumberFormat="1" applyFont="1" applyBorder="1" applyAlignment="1">
      <alignment horizontal="right" vertical="center"/>
    </xf>
    <xf numFmtId="177" fontId="13" fillId="0" borderId="15" xfId="0" applyNumberFormat="1" applyFont="1" applyBorder="1">
      <alignment vertical="center"/>
    </xf>
    <xf numFmtId="178" fontId="31" fillId="0" borderId="37" xfId="0" applyNumberFormat="1" applyFont="1" applyBorder="1">
      <alignment vertical="center"/>
    </xf>
    <xf numFmtId="177" fontId="32" fillId="0" borderId="38" xfId="0" applyNumberFormat="1" applyFont="1" applyBorder="1">
      <alignment vertical="center"/>
    </xf>
    <xf numFmtId="176" fontId="34" fillId="0" borderId="0" xfId="0" applyNumberFormat="1" applyFont="1" applyAlignment="1" applyProtection="1">
      <alignment horizontal="center" vertical="center"/>
      <protection locked="0"/>
    </xf>
    <xf numFmtId="177" fontId="34" fillId="0" borderId="0" xfId="0" applyNumberFormat="1" applyFont="1" applyAlignment="1" applyProtection="1">
      <alignment horizontal="center" vertical="center"/>
      <protection locked="0"/>
    </xf>
    <xf numFmtId="3" fontId="15" fillId="0" borderId="13" xfId="0" applyNumberFormat="1" applyFont="1" applyBorder="1" applyProtection="1">
      <alignment vertical="center"/>
      <protection locked="0"/>
    </xf>
    <xf numFmtId="3" fontId="15" fillId="0" borderId="91" xfId="0" applyNumberFormat="1" applyFont="1" applyBorder="1" applyProtection="1">
      <alignment vertical="center"/>
      <protection locked="0"/>
    </xf>
    <xf numFmtId="38" fontId="34" fillId="3" borderId="1" xfId="1" applyFont="1" applyFill="1" applyBorder="1" applyAlignment="1" applyProtection="1">
      <alignment vertical="center"/>
    </xf>
    <xf numFmtId="38" fontId="34" fillId="3" borderId="2" xfId="1" applyFont="1" applyFill="1" applyBorder="1" applyAlignment="1" applyProtection="1">
      <alignment vertical="center"/>
    </xf>
    <xf numFmtId="0" fontId="35" fillId="0" borderId="0" xfId="0" applyFont="1" applyProtection="1">
      <alignment vertical="center"/>
      <protection locked="0"/>
    </xf>
    <xf numFmtId="0" fontId="8" fillId="5" borderId="67" xfId="0" applyFont="1" applyFill="1" applyBorder="1" applyAlignment="1" applyProtection="1">
      <alignment horizontal="right" vertical="center"/>
      <protection locked="0"/>
    </xf>
    <xf numFmtId="0" fontId="8" fillId="5" borderId="64" xfId="0" applyFont="1" applyFill="1" applyBorder="1" applyAlignment="1" applyProtection="1">
      <alignment horizontal="right" vertical="center"/>
      <protection locked="0"/>
    </xf>
    <xf numFmtId="0" fontId="8" fillId="5" borderId="77" xfId="0" applyFont="1" applyFill="1" applyBorder="1" applyAlignment="1" applyProtection="1">
      <alignment horizontal="right" vertical="center"/>
      <protection locked="0"/>
    </xf>
    <xf numFmtId="0" fontId="8" fillId="0" borderId="34" xfId="0" applyFont="1" applyBorder="1" applyProtection="1">
      <alignment vertical="center"/>
      <protection locked="0"/>
    </xf>
    <xf numFmtId="0" fontId="8" fillId="4" borderId="37" xfId="0" applyFont="1" applyFill="1" applyBorder="1" applyAlignment="1" applyProtection="1">
      <alignment horizontal="center" vertical="center"/>
      <protection locked="0"/>
    </xf>
    <xf numFmtId="0" fontId="8" fillId="0" borderId="16" xfId="0" applyFont="1" applyBorder="1" applyAlignment="1" applyProtection="1">
      <alignment horizontal="left" vertical="center"/>
      <protection locked="0"/>
    </xf>
    <xf numFmtId="38" fontId="15" fillId="0" borderId="13" xfId="1" applyFont="1" applyBorder="1" applyProtection="1">
      <alignment vertical="center"/>
      <protection locked="0"/>
    </xf>
    <xf numFmtId="0" fontId="33" fillId="0" borderId="0" xfId="0" applyFont="1" applyProtection="1">
      <alignment vertical="center"/>
      <protection locked="0"/>
    </xf>
    <xf numFmtId="0" fontId="8" fillId="0" borderId="36" xfId="0" applyFont="1" applyBorder="1" applyProtection="1">
      <alignment vertical="center"/>
      <protection locked="0"/>
    </xf>
    <xf numFmtId="0" fontId="8" fillId="2" borderId="34" xfId="0" applyFont="1" applyFill="1" applyBorder="1" applyAlignment="1" applyProtection="1">
      <alignment horizontal="center" vertical="center"/>
      <protection locked="0"/>
    </xf>
    <xf numFmtId="176" fontId="8" fillId="0" borderId="0" xfId="0" applyNumberFormat="1" applyFont="1" applyProtection="1">
      <alignment vertical="center"/>
      <protection locked="0"/>
    </xf>
    <xf numFmtId="0" fontId="36" fillId="0" borderId="0" xfId="0" applyFont="1" applyProtection="1">
      <alignment vertical="center"/>
      <protection locked="0"/>
    </xf>
    <xf numFmtId="176" fontId="22" fillId="0" borderId="0" xfId="0" applyNumberFormat="1" applyFont="1" applyAlignment="1" applyProtection="1">
      <alignment horizontal="center" vertical="center"/>
      <protection locked="0"/>
    </xf>
    <xf numFmtId="177" fontId="22" fillId="0" borderId="0" xfId="0" applyNumberFormat="1" applyFont="1" applyAlignment="1" applyProtection="1">
      <alignment horizontal="center" vertical="center"/>
      <protection locked="0"/>
    </xf>
    <xf numFmtId="38" fontId="22" fillId="3" borderId="1" xfId="1" applyFont="1" applyFill="1" applyBorder="1" applyAlignment="1" applyProtection="1">
      <alignment vertical="center"/>
    </xf>
    <xf numFmtId="0" fontId="5" fillId="0" borderId="81" xfId="0" applyFont="1" applyBorder="1" applyAlignment="1" applyProtection="1">
      <alignment horizontal="left" vertical="center"/>
      <protection locked="0"/>
    </xf>
    <xf numFmtId="38" fontId="22" fillId="3" borderId="2" xfId="1" applyFont="1" applyFill="1" applyBorder="1" applyAlignment="1" applyProtection="1">
      <alignment vertical="center"/>
    </xf>
    <xf numFmtId="177" fontId="10" fillId="2" borderId="37" xfId="0" applyNumberFormat="1" applyFont="1" applyFill="1" applyBorder="1" applyAlignment="1">
      <alignment horizontal="right" vertical="center"/>
    </xf>
    <xf numFmtId="178" fontId="10" fillId="2" borderId="55" xfId="0" applyNumberFormat="1" applyFont="1" applyFill="1" applyBorder="1" applyAlignment="1">
      <alignment horizontal="right" vertical="center"/>
    </xf>
    <xf numFmtId="0" fontId="14" fillId="0" borderId="80" xfId="0" applyFont="1" applyBorder="1" applyProtection="1">
      <alignment vertical="center"/>
      <protection locked="0"/>
    </xf>
    <xf numFmtId="0" fontId="14" fillId="0" borderId="98" xfId="0" applyFont="1" applyBorder="1" applyProtection="1">
      <alignment vertical="center"/>
      <protection locked="0"/>
    </xf>
    <xf numFmtId="0" fontId="40" fillId="0" borderId="0" xfId="0" applyFont="1" applyAlignment="1">
      <alignment horizontal="left" vertical="center"/>
    </xf>
    <xf numFmtId="0" fontId="41" fillId="0" borderId="0" xfId="0" applyFont="1" applyAlignment="1">
      <alignment horizontal="left" vertical="center"/>
    </xf>
    <xf numFmtId="0" fontId="42" fillId="0" borderId="0" xfId="0" applyFont="1" applyAlignment="1">
      <alignment horizontal="left" vertical="center"/>
    </xf>
    <xf numFmtId="0" fontId="42" fillId="6" borderId="8" xfId="0" applyFont="1" applyFill="1" applyBorder="1" applyAlignment="1">
      <alignment horizontal="left" vertical="center"/>
    </xf>
    <xf numFmtId="0" fontId="42" fillId="6" borderId="17" xfId="0" applyFont="1" applyFill="1" applyBorder="1" applyAlignment="1">
      <alignment horizontal="left" vertical="center"/>
    </xf>
    <xf numFmtId="0" fontId="42" fillId="6" borderId="112" xfId="0" applyFont="1" applyFill="1" applyBorder="1" applyAlignment="1">
      <alignment horizontal="left" vertical="center"/>
    </xf>
    <xf numFmtId="0" fontId="42" fillId="6" borderId="14" xfId="0" applyFont="1" applyFill="1" applyBorder="1" applyAlignment="1">
      <alignment horizontal="left" vertical="center"/>
    </xf>
    <xf numFmtId="0" fontId="42" fillId="6" borderId="0" xfId="0" applyFont="1" applyFill="1" applyAlignment="1">
      <alignment horizontal="left" vertical="center"/>
    </xf>
    <xf numFmtId="0" fontId="42" fillId="6" borderId="130" xfId="0" applyFont="1" applyFill="1" applyBorder="1" applyAlignment="1">
      <alignment horizontal="left" vertical="center"/>
    </xf>
    <xf numFmtId="0" fontId="42" fillId="6" borderId="24" xfId="0" applyFont="1" applyFill="1" applyBorder="1" applyAlignment="1">
      <alignment horizontal="left" vertical="center"/>
    </xf>
    <xf numFmtId="0" fontId="42" fillId="6" borderId="11" xfId="0" applyFont="1" applyFill="1" applyBorder="1" applyAlignment="1">
      <alignment horizontal="left" vertical="center"/>
    </xf>
    <xf numFmtId="0" fontId="42" fillId="6" borderId="102" xfId="0" applyFont="1" applyFill="1" applyBorder="1" applyAlignment="1">
      <alignment horizontal="left" vertical="center"/>
    </xf>
    <xf numFmtId="0" fontId="43" fillId="0" borderId="0" xfId="0" applyFont="1" applyAlignment="1">
      <alignment horizontal="left" vertical="center"/>
    </xf>
    <xf numFmtId="0" fontId="43" fillId="0" borderId="0" xfId="0" applyFont="1" applyAlignment="1">
      <alignment horizontal="right" vertical="center"/>
    </xf>
    <xf numFmtId="0" fontId="43" fillId="4" borderId="4" xfId="0" applyFont="1" applyFill="1" applyBorder="1" applyAlignment="1">
      <alignment horizontal="left" vertical="center"/>
    </xf>
    <xf numFmtId="0" fontId="44" fillId="0" borderId="0" xfId="0" applyFont="1" applyAlignment="1">
      <alignment horizontal="left" vertical="center"/>
    </xf>
    <xf numFmtId="0" fontId="45" fillId="0" borderId="0" xfId="0" applyFont="1" applyAlignment="1">
      <alignment horizontal="left" vertical="center"/>
    </xf>
    <xf numFmtId="0" fontId="46" fillId="0" borderId="0" xfId="0" applyFont="1">
      <alignment vertical="center"/>
    </xf>
    <xf numFmtId="0" fontId="46" fillId="0" borderId="0" xfId="0" applyFont="1" applyAlignment="1">
      <alignment horizontal="left" vertical="center"/>
    </xf>
    <xf numFmtId="0" fontId="46" fillId="7" borderId="0" xfId="0" applyFont="1" applyFill="1">
      <alignment vertical="center"/>
    </xf>
    <xf numFmtId="38" fontId="46" fillId="7" borderId="0" xfId="1" applyFont="1" applyFill="1" applyBorder="1" applyAlignment="1">
      <alignment vertical="center" shrinkToFit="1"/>
    </xf>
    <xf numFmtId="0" fontId="46" fillId="0" borderId="0" xfId="0" applyFont="1" applyAlignment="1">
      <alignment horizontal="center" vertical="center"/>
    </xf>
    <xf numFmtId="0" fontId="46" fillId="7" borderId="0" xfId="0" applyFont="1" applyFill="1" applyAlignment="1">
      <alignment horizontal="right" vertical="center"/>
    </xf>
    <xf numFmtId="38" fontId="46" fillId="0" borderId="0" xfId="1" applyFont="1" applyBorder="1">
      <alignment vertical="center"/>
    </xf>
    <xf numFmtId="0" fontId="46" fillId="0" borderId="4" xfId="0" applyFont="1" applyBorder="1" applyAlignment="1">
      <alignment horizontal="center" vertical="center"/>
    </xf>
    <xf numFmtId="0" fontId="46" fillId="4" borderId="5" xfId="0" applyFont="1" applyFill="1" applyBorder="1" applyAlignment="1">
      <alignment horizontal="center" vertical="center"/>
    </xf>
    <xf numFmtId="38" fontId="45" fillId="0" borderId="133" xfId="1" applyFont="1" applyBorder="1">
      <alignment vertical="center"/>
    </xf>
    <xf numFmtId="0" fontId="46" fillId="0" borderId="7" xfId="0" applyFont="1" applyBorder="1" applyAlignment="1">
      <alignment horizontal="center" vertical="center"/>
    </xf>
    <xf numFmtId="0" fontId="46" fillId="0" borderId="6" xfId="0" applyFont="1" applyBorder="1" applyAlignment="1">
      <alignment horizontal="center" vertical="center"/>
    </xf>
    <xf numFmtId="38" fontId="46" fillId="7" borderId="8" xfId="1" applyFont="1" applyFill="1" applyBorder="1" applyAlignment="1">
      <alignment horizontal="center" vertical="center"/>
    </xf>
    <xf numFmtId="0" fontId="46" fillId="0" borderId="134" xfId="0" applyFont="1" applyBorder="1" applyAlignment="1">
      <alignment vertical="center" textRotation="255" shrinkToFit="1"/>
    </xf>
    <xf numFmtId="0" fontId="46" fillId="4" borderId="135" xfId="0" applyFont="1" applyFill="1" applyBorder="1" applyAlignment="1">
      <alignment horizontal="right" vertical="center"/>
    </xf>
    <xf numFmtId="0" fontId="46" fillId="7" borderId="135" xfId="0" applyFont="1" applyFill="1" applyBorder="1" applyAlignment="1">
      <alignment horizontal="center" vertical="center"/>
    </xf>
    <xf numFmtId="0" fontId="46" fillId="4" borderId="135" xfId="0" applyFont="1" applyFill="1" applyBorder="1">
      <alignment vertical="center"/>
    </xf>
    <xf numFmtId="38" fontId="45" fillId="0" borderId="136" xfId="1" applyFont="1" applyBorder="1">
      <alignment vertical="center"/>
    </xf>
    <xf numFmtId="38" fontId="47" fillId="0" borderId="4" xfId="1" applyFont="1" applyBorder="1" applyAlignment="1">
      <alignment horizontal="center" vertical="center"/>
    </xf>
    <xf numFmtId="38" fontId="47" fillId="0" borderId="7" xfId="1" applyFont="1" applyBorder="1" applyAlignment="1">
      <alignment horizontal="center" vertical="center"/>
    </xf>
    <xf numFmtId="0" fontId="47" fillId="0" borderId="7" xfId="0" applyFont="1" applyBorder="1" applyAlignment="1">
      <alignment horizontal="center" vertical="center"/>
    </xf>
    <xf numFmtId="0" fontId="48" fillId="0" borderId="7" xfId="0" applyFont="1" applyBorder="1" applyAlignment="1">
      <alignment horizontal="center" vertical="center"/>
    </xf>
    <xf numFmtId="38" fontId="45" fillId="0" borderId="7" xfId="1" applyFont="1" applyBorder="1" applyAlignment="1">
      <alignment horizontal="center" vertical="center" shrinkToFit="1"/>
    </xf>
    <xf numFmtId="38" fontId="45" fillId="0" borderId="4" xfId="1" applyFont="1" applyBorder="1" applyAlignment="1">
      <alignment horizontal="center" vertical="center" shrinkToFit="1"/>
    </xf>
    <xf numFmtId="38" fontId="46" fillId="0" borderId="4" xfId="1" applyFont="1" applyBorder="1" applyAlignment="1">
      <alignment horizontal="center" vertical="center" shrinkToFit="1"/>
    </xf>
    <xf numFmtId="38" fontId="47" fillId="4" borderId="4" xfId="1" applyFont="1" applyFill="1" applyBorder="1" applyAlignment="1">
      <alignment horizontal="right" vertical="center"/>
    </xf>
    <xf numFmtId="38" fontId="47" fillId="4" borderId="7" xfId="1" applyFont="1" applyFill="1" applyBorder="1" applyAlignment="1">
      <alignment horizontal="center" vertical="center"/>
    </xf>
    <xf numFmtId="0" fontId="47" fillId="4" borderId="7" xfId="0" applyFont="1" applyFill="1" applyBorder="1" applyAlignment="1">
      <alignment horizontal="center" vertical="center"/>
    </xf>
    <xf numFmtId="182" fontId="47" fillId="4" borderId="7" xfId="0" applyNumberFormat="1" applyFont="1" applyFill="1" applyBorder="1" applyAlignment="1">
      <alignment horizontal="center" vertical="center"/>
    </xf>
    <xf numFmtId="0" fontId="48" fillId="4" borderId="7" xfId="0" applyFont="1" applyFill="1" applyBorder="1" applyAlignment="1">
      <alignment horizontal="center" vertical="center"/>
    </xf>
    <xf numFmtId="181" fontId="45" fillId="7" borderId="4" xfId="0" applyNumberFormat="1" applyFont="1" applyFill="1" applyBorder="1" applyAlignment="1">
      <alignment horizontal="right" vertical="center" shrinkToFit="1"/>
    </xf>
    <xf numFmtId="0" fontId="47" fillId="0" borderId="5" xfId="0" applyFont="1" applyBorder="1" applyAlignment="1">
      <alignment horizontal="center" vertical="center"/>
    </xf>
    <xf numFmtId="181" fontId="45" fillId="8" borderId="4" xfId="0" applyNumberFormat="1" applyFont="1" applyFill="1" applyBorder="1" applyAlignment="1">
      <alignment horizontal="right" vertical="center" shrinkToFit="1"/>
    </xf>
    <xf numFmtId="181" fontId="45" fillId="8" borderId="4" xfId="1" applyNumberFormat="1" applyFont="1" applyFill="1" applyBorder="1" applyAlignment="1">
      <alignment vertical="center" shrinkToFit="1"/>
    </xf>
    <xf numFmtId="181" fontId="45" fillId="0" borderId="4" xfId="1" applyNumberFormat="1" applyFont="1" applyBorder="1" applyAlignment="1">
      <alignment vertical="center" shrinkToFit="1"/>
    </xf>
    <xf numFmtId="0" fontId="46" fillId="4" borderId="24" xfId="0" applyFont="1" applyFill="1" applyBorder="1" applyAlignment="1">
      <alignment horizontal="center" vertical="center"/>
    </xf>
    <xf numFmtId="38" fontId="45" fillId="0" borderId="138" xfId="1" applyFont="1" applyBorder="1">
      <alignment vertical="center"/>
    </xf>
    <xf numFmtId="38" fontId="46" fillId="4" borderId="4" xfId="1" applyFont="1" applyFill="1" applyBorder="1">
      <alignment vertical="center"/>
    </xf>
    <xf numFmtId="38" fontId="46" fillId="4" borderId="4" xfId="1" applyFont="1" applyFill="1" applyBorder="1" applyAlignment="1">
      <alignment horizontal="center" vertical="center"/>
    </xf>
    <xf numFmtId="0" fontId="46" fillId="4" borderId="4" xfId="0" applyFont="1" applyFill="1" applyBorder="1" applyAlignment="1">
      <alignment horizontal="center" vertical="center"/>
    </xf>
    <xf numFmtId="183" fontId="46" fillId="4" borderId="4" xfId="0" applyNumberFormat="1" applyFont="1" applyFill="1" applyBorder="1" applyAlignment="1">
      <alignment horizontal="right" vertical="center"/>
    </xf>
    <xf numFmtId="0" fontId="46" fillId="4" borderId="4" xfId="0" applyFont="1" applyFill="1" applyBorder="1">
      <alignment vertical="center"/>
    </xf>
    <xf numFmtId="181" fontId="45" fillId="7" borderId="6" xfId="0" applyNumberFormat="1" applyFont="1" applyFill="1" applyBorder="1" applyAlignment="1">
      <alignment horizontal="right" vertical="center" shrinkToFit="1"/>
    </xf>
    <xf numFmtId="38" fontId="46" fillId="7" borderId="4" xfId="1" applyFont="1" applyFill="1" applyBorder="1" applyAlignment="1">
      <alignment horizontal="center" vertical="center"/>
    </xf>
    <xf numFmtId="0" fontId="46" fillId="7" borderId="4" xfId="0" applyFont="1" applyFill="1" applyBorder="1" applyAlignment="1">
      <alignment horizontal="center" vertical="center"/>
    </xf>
    <xf numFmtId="181" fontId="45" fillId="7" borderId="23" xfId="0" applyNumberFormat="1" applyFont="1" applyFill="1" applyBorder="1" applyAlignment="1">
      <alignment horizontal="right" vertical="center" shrinkToFit="1"/>
    </xf>
    <xf numFmtId="0" fontId="46" fillId="0" borderId="0" xfId="0" applyFont="1" applyAlignment="1">
      <alignment horizontal="right" vertical="center"/>
    </xf>
    <xf numFmtId="0" fontId="46" fillId="7" borderId="4" xfId="0" applyFont="1" applyFill="1" applyBorder="1">
      <alignment vertical="center"/>
    </xf>
    <xf numFmtId="0" fontId="46" fillId="0" borderId="4" xfId="0" applyFont="1" applyBorder="1">
      <alignment vertical="center"/>
    </xf>
    <xf numFmtId="38" fontId="51" fillId="4" borderId="4" xfId="1" applyFont="1" applyFill="1" applyBorder="1">
      <alignment vertical="center"/>
    </xf>
    <xf numFmtId="0" fontId="46" fillId="0" borderId="4" xfId="0" applyFont="1" applyBorder="1" applyAlignment="1">
      <alignment horizontal="center" vertical="center" textRotation="255"/>
    </xf>
    <xf numFmtId="183" fontId="45" fillId="4" borderId="4" xfId="0" applyNumberFormat="1" applyFont="1" applyFill="1" applyBorder="1" applyAlignment="1">
      <alignment horizontal="right" vertical="center"/>
    </xf>
    <xf numFmtId="0" fontId="46" fillId="0" borderId="4" xfId="0" applyFont="1" applyBorder="1" applyAlignment="1">
      <alignment horizontal="right" vertical="center"/>
    </xf>
    <xf numFmtId="181" fontId="45" fillId="7" borderId="7" xfId="0" applyNumberFormat="1" applyFont="1" applyFill="1" applyBorder="1" applyAlignment="1">
      <alignment horizontal="right" vertical="center" shrinkToFit="1"/>
    </xf>
    <xf numFmtId="181" fontId="45" fillId="6" borderId="4" xfId="1" applyNumberFormat="1" applyFont="1" applyFill="1" applyBorder="1" applyAlignment="1">
      <alignment vertical="center" shrinkToFit="1"/>
    </xf>
    <xf numFmtId="181" fontId="45" fillId="9" borderId="4" xfId="1" applyNumberFormat="1" applyFont="1" applyFill="1" applyBorder="1" applyAlignment="1">
      <alignment vertical="center" shrinkToFit="1"/>
    </xf>
    <xf numFmtId="38" fontId="47" fillId="3" borderId="4" xfId="1" applyFont="1" applyFill="1" applyBorder="1">
      <alignment vertical="center"/>
    </xf>
    <xf numFmtId="0" fontId="54" fillId="0" borderId="0" xfId="0" applyFont="1">
      <alignment vertical="center"/>
    </xf>
    <xf numFmtId="38" fontId="54" fillId="0" borderId="0" xfId="1" applyFont="1" applyBorder="1">
      <alignment vertical="center"/>
    </xf>
    <xf numFmtId="38" fontId="54" fillId="0" borderId="0" xfId="1" applyFont="1">
      <alignment vertical="center"/>
    </xf>
    <xf numFmtId="0" fontId="55" fillId="0" borderId="0" xfId="0" applyFont="1" applyProtection="1">
      <alignment vertical="center"/>
      <protection locked="0"/>
    </xf>
    <xf numFmtId="0" fontId="57" fillId="0" borderId="0" xfId="0" applyFont="1" applyAlignment="1" applyProtection="1">
      <alignment horizontal="center" vertical="center"/>
      <protection locked="0"/>
    </xf>
    <xf numFmtId="0" fontId="57" fillId="0" borderId="0" xfId="0" applyFont="1" applyProtection="1">
      <alignment vertical="center"/>
      <protection locked="0"/>
    </xf>
    <xf numFmtId="0" fontId="56" fillId="0" borderId="0" xfId="0" applyFont="1" applyProtection="1">
      <alignment vertical="center"/>
      <protection locked="0"/>
    </xf>
    <xf numFmtId="0" fontId="58" fillId="0" borderId="0" xfId="0" applyFont="1" applyProtection="1">
      <alignment vertical="center"/>
      <protection locked="0"/>
    </xf>
    <xf numFmtId="184" fontId="57" fillId="0" borderId="139" xfId="0" applyNumberFormat="1" applyFont="1" applyBorder="1" applyAlignment="1" applyProtection="1">
      <alignment horizontal="center" vertical="center"/>
      <protection locked="0"/>
    </xf>
    <xf numFmtId="184" fontId="57" fillId="0" borderId="59" xfId="0" applyNumberFormat="1" applyFont="1" applyBorder="1" applyAlignment="1" applyProtection="1">
      <alignment horizontal="center" vertical="center"/>
      <protection locked="0"/>
    </xf>
    <xf numFmtId="184" fontId="57" fillId="0" borderId="109" xfId="0" applyNumberFormat="1" applyFont="1" applyBorder="1" applyAlignment="1" applyProtection="1">
      <alignment horizontal="center" vertical="center"/>
      <protection locked="0"/>
    </xf>
    <xf numFmtId="0" fontId="57" fillId="0" borderId="29" xfId="0" applyFont="1" applyBorder="1" applyAlignment="1" applyProtection="1">
      <alignment horizontal="center" vertical="center"/>
      <protection locked="0"/>
    </xf>
    <xf numFmtId="185" fontId="57" fillId="10" borderId="140" xfId="0" applyNumberFormat="1" applyFont="1" applyFill="1" applyBorder="1" applyAlignment="1" applyProtection="1">
      <alignment vertical="center" shrinkToFit="1"/>
      <protection locked="0"/>
    </xf>
    <xf numFmtId="185" fontId="57" fillId="10" borderId="31" xfId="0" applyNumberFormat="1" applyFont="1" applyFill="1" applyBorder="1" applyAlignment="1" applyProtection="1">
      <alignment vertical="center" shrinkToFit="1"/>
      <protection locked="0"/>
    </xf>
    <xf numFmtId="185" fontId="57" fillId="10" borderId="95" xfId="0" applyNumberFormat="1" applyFont="1" applyFill="1" applyBorder="1" applyAlignment="1" applyProtection="1">
      <alignment vertical="center" shrinkToFit="1"/>
      <protection locked="0"/>
    </xf>
    <xf numFmtId="185" fontId="59" fillId="3" borderId="33" xfId="0" applyNumberFormat="1" applyFont="1" applyFill="1" applyBorder="1" applyAlignment="1">
      <alignment vertical="center" shrinkToFit="1"/>
    </xf>
    <xf numFmtId="0" fontId="57" fillId="0" borderId="39" xfId="0" applyFont="1" applyBorder="1" applyAlignment="1" applyProtection="1">
      <alignment horizontal="center" vertical="center"/>
      <protection locked="0"/>
    </xf>
    <xf numFmtId="0" fontId="57" fillId="0" borderId="141" xfId="0" applyFont="1" applyBorder="1" applyAlignment="1" applyProtection="1">
      <alignment vertical="center" shrinkToFit="1"/>
      <protection locked="0"/>
    </xf>
    <xf numFmtId="186" fontId="57" fillId="3" borderId="41" xfId="0" applyNumberFormat="1" applyFont="1" applyFill="1" applyBorder="1" applyAlignment="1">
      <alignment vertical="center" shrinkToFit="1"/>
    </xf>
    <xf numFmtId="186" fontId="57" fillId="3" borderId="103" xfId="0" applyNumberFormat="1" applyFont="1" applyFill="1" applyBorder="1" applyAlignment="1">
      <alignment vertical="center" shrinkToFit="1"/>
    </xf>
    <xf numFmtId="185" fontId="59" fillId="0" borderId="94" xfId="0" applyNumberFormat="1" applyFont="1" applyBorder="1" applyAlignment="1" applyProtection="1">
      <alignment vertical="center" shrinkToFit="1"/>
      <protection locked="0"/>
    </xf>
    <xf numFmtId="0" fontId="57" fillId="0" borderId="45" xfId="0" applyFont="1" applyBorder="1" applyAlignment="1" applyProtection="1">
      <alignment horizontal="center" vertical="center"/>
      <protection locked="0"/>
    </xf>
    <xf numFmtId="0" fontId="57" fillId="0" borderId="144" xfId="0" applyFont="1" applyBorder="1" applyAlignment="1" applyProtection="1">
      <alignment vertical="center" shrinkToFit="1"/>
      <protection locked="0"/>
    </xf>
    <xf numFmtId="186" fontId="57" fillId="3" borderId="145" xfId="0" applyNumberFormat="1" applyFont="1" applyFill="1" applyBorder="1" applyAlignment="1">
      <alignment vertical="center" shrinkToFit="1"/>
    </xf>
    <xf numFmtId="186" fontId="57" fillId="3" borderId="97" xfId="0" applyNumberFormat="1" applyFont="1" applyFill="1" applyBorder="1" applyAlignment="1">
      <alignment vertical="center" shrinkToFit="1"/>
    </xf>
    <xf numFmtId="185" fontId="59" fillId="0" borderId="47" xfId="0" applyNumberFormat="1" applyFont="1" applyBorder="1" applyAlignment="1" applyProtection="1">
      <alignment vertical="center" shrinkToFit="1"/>
      <protection locked="0"/>
    </xf>
    <xf numFmtId="0" fontId="57" fillId="0" borderId="147" xfId="0" applyFont="1" applyBorder="1" applyAlignment="1" applyProtection="1">
      <alignment horizontal="center" vertical="center"/>
      <protection locked="0"/>
    </xf>
    <xf numFmtId="185" fontId="57" fillId="3" borderId="148" xfId="0" applyNumberFormat="1" applyFont="1" applyFill="1" applyBorder="1" applyAlignment="1">
      <alignment vertical="center" shrinkToFit="1"/>
    </xf>
    <xf numFmtId="185" fontId="57" fillId="0" borderId="149" xfId="0" applyNumberFormat="1" applyFont="1" applyBorder="1" applyAlignment="1" applyProtection="1">
      <alignment vertical="center" shrinkToFit="1"/>
      <protection locked="0"/>
    </xf>
    <xf numFmtId="185" fontId="57" fillId="0" borderId="150" xfId="0" applyNumberFormat="1" applyFont="1" applyBorder="1" applyAlignment="1" applyProtection="1">
      <alignment vertical="center" shrinkToFit="1"/>
      <protection locked="0"/>
    </xf>
    <xf numFmtId="185" fontId="59" fillId="3" borderId="118" xfId="0" applyNumberFormat="1" applyFont="1" applyFill="1" applyBorder="1" applyAlignment="1">
      <alignment vertical="center" shrinkToFit="1"/>
    </xf>
    <xf numFmtId="186" fontId="57" fillId="0" borderId="0" xfId="0" applyNumberFormat="1" applyFont="1" applyProtection="1">
      <alignment vertical="center"/>
      <protection locked="0"/>
    </xf>
    <xf numFmtId="0" fontId="57" fillId="0" borderId="119" xfId="0" applyFont="1" applyBorder="1" applyAlignment="1" applyProtection="1">
      <alignment horizontal="center" vertical="center"/>
      <protection locked="0"/>
    </xf>
    <xf numFmtId="184" fontId="57" fillId="0" borderId="58" xfId="0" applyNumberFormat="1" applyFont="1" applyBorder="1" applyAlignment="1" applyProtection="1">
      <alignment horizontal="center" vertical="center"/>
      <protection locked="0"/>
    </xf>
    <xf numFmtId="184" fontId="57" fillId="0" borderId="151" xfId="0" applyNumberFormat="1" applyFont="1" applyBorder="1" applyAlignment="1" applyProtection="1">
      <alignment horizontal="center" vertical="center"/>
      <protection locked="0"/>
    </xf>
    <xf numFmtId="0" fontId="57" fillId="7" borderId="73" xfId="0" applyFont="1" applyFill="1" applyBorder="1" applyAlignment="1" applyProtection="1">
      <alignment horizontal="center" vertical="center"/>
      <protection locked="0"/>
    </xf>
    <xf numFmtId="0" fontId="57" fillId="0" borderId="95" xfId="0" applyFont="1" applyBorder="1" applyAlignment="1" applyProtection="1">
      <alignment horizontal="center" vertical="center"/>
      <protection locked="0"/>
    </xf>
    <xf numFmtId="185" fontId="61" fillId="10" borderId="73" xfId="0" applyNumberFormat="1" applyFont="1" applyFill="1" applyBorder="1" applyAlignment="1" applyProtection="1">
      <alignment vertical="center" shrinkToFit="1"/>
      <protection locked="0"/>
    </xf>
    <xf numFmtId="185" fontId="57" fillId="3" borderId="12" xfId="0" applyNumberFormat="1" applyFont="1" applyFill="1" applyBorder="1" applyAlignment="1">
      <alignment vertical="center" shrinkToFit="1"/>
    </xf>
    <xf numFmtId="185" fontId="57" fillId="3" borderId="4" xfId="0" applyNumberFormat="1" applyFont="1" applyFill="1" applyBorder="1" applyAlignment="1">
      <alignment vertical="center" shrinkToFit="1"/>
    </xf>
    <xf numFmtId="185" fontId="57" fillId="3" borderId="83" xfId="0" applyNumberFormat="1" applyFont="1" applyFill="1" applyBorder="1" applyAlignment="1">
      <alignment vertical="center" shrinkToFit="1"/>
    </xf>
    <xf numFmtId="185" fontId="59" fillId="3" borderId="73" xfId="0" applyNumberFormat="1" applyFont="1" applyFill="1" applyBorder="1" applyAlignment="1">
      <alignment vertical="center" shrinkToFit="1"/>
    </xf>
    <xf numFmtId="0" fontId="57" fillId="0" borderId="83" xfId="0" applyFont="1" applyBorder="1" applyAlignment="1" applyProtection="1">
      <alignment horizontal="center" vertical="center"/>
      <protection locked="0"/>
    </xf>
    <xf numFmtId="0" fontId="57" fillId="0" borderId="107" xfId="0" applyFont="1" applyBorder="1" applyProtection="1">
      <alignment vertical="center"/>
      <protection locked="0"/>
    </xf>
    <xf numFmtId="0" fontId="57" fillId="0" borderId="4" xfId="0" applyFont="1" applyBorder="1" applyAlignment="1" applyProtection="1">
      <alignment vertical="top" wrapText="1"/>
      <protection locked="0"/>
    </xf>
    <xf numFmtId="0" fontId="57" fillId="0" borderId="152" xfId="0" applyFont="1" applyBorder="1" applyAlignment="1" applyProtection="1">
      <alignment horizontal="center" vertical="center"/>
      <protection locked="0"/>
    </xf>
    <xf numFmtId="185" fontId="61" fillId="10" borderId="153" xfId="0" applyNumberFormat="1" applyFont="1" applyFill="1" applyBorder="1" applyAlignment="1" applyProtection="1">
      <alignment vertical="center" shrinkToFit="1"/>
      <protection locked="0"/>
    </xf>
    <xf numFmtId="185" fontId="57" fillId="3" borderId="115" xfId="0" applyNumberFormat="1" applyFont="1" applyFill="1" applyBorder="1" applyAlignment="1">
      <alignment vertical="center" shrinkToFit="1"/>
    </xf>
    <xf numFmtId="185" fontId="57" fillId="3" borderId="88" xfId="0" applyNumberFormat="1" applyFont="1" applyFill="1" applyBorder="1" applyAlignment="1">
      <alignment vertical="center" shrinkToFit="1"/>
    </xf>
    <xf numFmtId="185" fontId="57" fillId="3" borderId="152" xfId="0" applyNumberFormat="1" applyFont="1" applyFill="1" applyBorder="1" applyAlignment="1">
      <alignment vertical="center" shrinkToFit="1"/>
    </xf>
    <xf numFmtId="185" fontId="59" fillId="3" borderId="153" xfId="0" applyNumberFormat="1" applyFont="1" applyFill="1" applyBorder="1" applyAlignment="1">
      <alignment vertical="center" shrinkToFit="1"/>
    </xf>
    <xf numFmtId="0" fontId="57" fillId="0" borderId="150" xfId="0" applyFont="1" applyBorder="1" applyProtection="1">
      <alignment vertical="center"/>
      <protection locked="0"/>
    </xf>
    <xf numFmtId="185" fontId="57" fillId="3" borderId="126" xfId="0" applyNumberFormat="1" applyFont="1" applyFill="1" applyBorder="1" applyAlignment="1">
      <alignment vertical="center" shrinkToFit="1"/>
    </xf>
    <xf numFmtId="187" fontId="57" fillId="0" borderId="154" xfId="0" applyNumberFormat="1" applyFont="1" applyBorder="1" applyAlignment="1" applyProtection="1">
      <alignment vertical="center" shrinkToFit="1"/>
      <protection locked="0"/>
    </xf>
    <xf numFmtId="187" fontId="57" fillId="0" borderId="149" xfId="0" applyNumberFormat="1" applyFont="1" applyBorder="1" applyAlignment="1" applyProtection="1">
      <alignment vertical="center" shrinkToFit="1"/>
      <protection locked="0"/>
    </xf>
    <xf numFmtId="187" fontId="57" fillId="0" borderId="150" xfId="0" applyNumberFormat="1" applyFont="1" applyBorder="1" applyAlignment="1" applyProtection="1">
      <alignment vertical="center" shrinkToFit="1"/>
      <protection locked="0"/>
    </xf>
    <xf numFmtId="185" fontId="59" fillId="3" borderId="3" xfId="0" applyNumberFormat="1" applyFont="1" applyFill="1" applyBorder="1" applyAlignment="1">
      <alignment vertical="center" shrinkToFit="1"/>
    </xf>
    <xf numFmtId="0" fontId="57" fillId="0" borderId="130" xfId="0" applyFont="1" applyBorder="1" applyProtection="1">
      <alignment vertical="center"/>
      <protection locked="0"/>
    </xf>
    <xf numFmtId="184" fontId="57" fillId="0" borderId="25" xfId="0" applyNumberFormat="1" applyFont="1" applyBorder="1" applyAlignment="1" applyProtection="1">
      <alignment horizontal="center" vertical="center"/>
      <protection locked="0"/>
    </xf>
    <xf numFmtId="0" fontId="57" fillId="7" borderId="26" xfId="0" applyFont="1" applyFill="1" applyBorder="1" applyAlignment="1" applyProtection="1">
      <alignment horizontal="center" vertical="center"/>
      <protection locked="0"/>
    </xf>
    <xf numFmtId="0" fontId="57" fillId="0" borderId="31" xfId="0" applyFont="1" applyBorder="1" applyAlignment="1" applyProtection="1">
      <alignment horizontal="center" vertical="center"/>
      <protection locked="0"/>
    </xf>
    <xf numFmtId="185" fontId="59" fillId="3" borderId="26" xfId="0" applyNumberFormat="1" applyFont="1" applyFill="1" applyBorder="1" applyAlignment="1">
      <alignment vertical="center" shrinkToFit="1"/>
    </xf>
    <xf numFmtId="185" fontId="57" fillId="10" borderId="108" xfId="0" applyNumberFormat="1" applyFont="1" applyFill="1" applyBorder="1" applyAlignment="1" applyProtection="1">
      <alignment vertical="center" shrinkToFit="1"/>
      <protection locked="0"/>
    </xf>
    <xf numFmtId="185" fontId="57" fillId="10" borderId="4" xfId="0" applyNumberFormat="1" applyFont="1" applyFill="1" applyBorder="1" applyAlignment="1" applyProtection="1">
      <alignment vertical="center" shrinkToFit="1"/>
      <protection locked="0"/>
    </xf>
    <xf numFmtId="185" fontId="57" fillId="10" borderId="83" xfId="0" applyNumberFormat="1" applyFont="1" applyFill="1" applyBorder="1" applyAlignment="1" applyProtection="1">
      <alignment vertical="center" shrinkToFit="1"/>
      <protection locked="0"/>
    </xf>
    <xf numFmtId="0" fontId="57" fillId="0" borderId="88" xfId="0" applyFont="1" applyBorder="1" applyAlignment="1" applyProtection="1">
      <alignment horizontal="center" vertical="center"/>
      <protection locked="0"/>
    </xf>
    <xf numFmtId="185" fontId="59" fillId="3" borderId="87" xfId="0" applyNumberFormat="1" applyFont="1" applyFill="1" applyBorder="1" applyAlignment="1">
      <alignment vertical="center" shrinkToFit="1"/>
    </xf>
    <xf numFmtId="185" fontId="57" fillId="10" borderId="155" xfId="0" applyNumberFormat="1" applyFont="1" applyFill="1" applyBorder="1" applyAlignment="1" applyProtection="1">
      <alignment vertical="center" shrinkToFit="1"/>
      <protection locked="0"/>
    </xf>
    <xf numFmtId="185" fontId="57" fillId="10" borderId="88" xfId="0" applyNumberFormat="1" applyFont="1" applyFill="1" applyBorder="1" applyAlignment="1" applyProtection="1">
      <alignment vertical="center" shrinkToFit="1"/>
      <protection locked="0"/>
    </xf>
    <xf numFmtId="185" fontId="57" fillId="10" borderId="152" xfId="0" applyNumberFormat="1" applyFont="1" applyFill="1" applyBorder="1" applyAlignment="1" applyProtection="1">
      <alignment vertical="center" shrinkToFit="1"/>
      <protection locked="0"/>
    </xf>
    <xf numFmtId="0" fontId="57" fillId="0" borderId="147" xfId="0" applyFont="1" applyBorder="1" applyProtection="1">
      <alignment vertical="center"/>
      <protection locked="0"/>
    </xf>
    <xf numFmtId="185" fontId="59" fillId="3" borderId="57" xfId="0" applyNumberFormat="1" applyFont="1" applyFill="1" applyBorder="1" applyAlignment="1">
      <alignment vertical="center" shrinkToFit="1"/>
    </xf>
    <xf numFmtId="185" fontId="57" fillId="0" borderId="148" xfId="0" applyNumberFormat="1" applyFont="1" applyBorder="1" applyAlignment="1" applyProtection="1">
      <alignment vertical="center" shrinkToFit="1"/>
      <protection locked="0"/>
    </xf>
    <xf numFmtId="185" fontId="57" fillId="0" borderId="0" xfId="0" applyNumberFormat="1" applyFont="1" applyProtection="1">
      <alignment vertical="center"/>
      <protection locked="0"/>
    </xf>
    <xf numFmtId="0" fontId="62" fillId="0" borderId="130" xfId="0" applyFont="1" applyBorder="1" applyProtection="1">
      <alignment vertical="center"/>
      <protection locked="0"/>
    </xf>
    <xf numFmtId="0" fontId="62" fillId="0" borderId="0" xfId="0" applyFont="1" applyProtection="1">
      <alignment vertical="center"/>
      <protection locked="0"/>
    </xf>
    <xf numFmtId="38" fontId="46" fillId="11" borderId="8" xfId="1" applyFont="1" applyFill="1" applyBorder="1" applyAlignment="1">
      <alignment horizontal="center" vertical="center"/>
    </xf>
    <xf numFmtId="0" fontId="45" fillId="0" borderId="4"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7" xfId="0" applyFont="1" applyBorder="1" applyAlignment="1">
      <alignment horizontal="center" vertical="center"/>
    </xf>
    <xf numFmtId="0" fontId="46" fillId="7" borderId="6" xfId="0" applyFont="1" applyFill="1" applyBorder="1" applyAlignment="1">
      <alignment horizontal="center" vertical="center" wrapText="1"/>
    </xf>
    <xf numFmtId="0" fontId="46" fillId="7" borderId="7" xfId="0" applyFont="1" applyFill="1" applyBorder="1" applyAlignment="1">
      <alignment horizontal="center" vertical="center"/>
    </xf>
    <xf numFmtId="0" fontId="46" fillId="0" borderId="131" xfId="0" applyFont="1" applyBorder="1" applyAlignment="1">
      <alignment horizontal="center" vertical="center" shrinkToFit="1"/>
    </xf>
    <xf numFmtId="0" fontId="46" fillId="0" borderId="132" xfId="0" applyFont="1" applyBorder="1" applyAlignment="1">
      <alignment horizontal="center" vertical="center" shrinkToFit="1"/>
    </xf>
    <xf numFmtId="0" fontId="42" fillId="6" borderId="8" xfId="0" applyFont="1" applyFill="1" applyBorder="1" applyAlignment="1">
      <alignment vertical="center" wrapText="1"/>
    </xf>
    <xf numFmtId="0" fontId="42" fillId="6" borderId="112" xfId="0" applyFont="1" applyFill="1" applyBorder="1" applyAlignment="1">
      <alignment vertical="center" wrapText="1"/>
    </xf>
    <xf numFmtId="0" fontId="42" fillId="6" borderId="14" xfId="0" applyFont="1" applyFill="1" applyBorder="1" applyAlignment="1">
      <alignment vertical="center" wrapText="1"/>
    </xf>
    <xf numFmtId="0" fontId="42" fillId="6" borderId="130" xfId="0" applyFont="1" applyFill="1" applyBorder="1" applyAlignment="1">
      <alignment vertical="center" wrapText="1"/>
    </xf>
    <xf numFmtId="0" fontId="42" fillId="6" borderId="24" xfId="0" applyFont="1" applyFill="1" applyBorder="1" applyAlignment="1">
      <alignment vertical="center" wrapText="1"/>
    </xf>
    <xf numFmtId="0" fontId="42" fillId="6" borderId="102" xfId="0" applyFont="1" applyFill="1" applyBorder="1" applyAlignment="1">
      <alignment vertical="center" wrapText="1"/>
    </xf>
    <xf numFmtId="0" fontId="45" fillId="0" borderId="4" xfId="0" applyFont="1" applyBorder="1" applyAlignment="1">
      <alignment horizontal="center" vertical="center" textRotation="255"/>
    </xf>
    <xf numFmtId="0" fontId="45" fillId="0" borderId="4" xfId="0" applyFont="1" applyBorder="1" applyAlignment="1">
      <alignment horizontal="right" vertical="center"/>
    </xf>
    <xf numFmtId="0" fontId="46" fillId="0" borderId="4" xfId="0" applyFont="1" applyBorder="1" applyAlignment="1">
      <alignment horizontal="right" vertical="center" shrinkToFit="1"/>
    </xf>
    <xf numFmtId="0" fontId="46" fillId="0" borderId="4" xfId="0" applyFont="1" applyBorder="1" applyAlignment="1">
      <alignment horizontal="right" vertical="center"/>
    </xf>
    <xf numFmtId="0" fontId="46" fillId="0" borderId="6" xfId="0" applyFont="1" applyBorder="1" applyAlignment="1">
      <alignment horizontal="center" vertical="center" wrapText="1" shrinkToFit="1"/>
    </xf>
    <xf numFmtId="0" fontId="46" fillId="0" borderId="7" xfId="0" applyFont="1" applyBorder="1" applyAlignment="1">
      <alignment horizontal="center" vertical="center" shrinkToFit="1"/>
    </xf>
    <xf numFmtId="0" fontId="47" fillId="0" borderId="5" xfId="0" applyFont="1" applyBorder="1" applyAlignment="1">
      <alignment horizontal="center" vertical="center"/>
    </xf>
    <xf numFmtId="0" fontId="47" fillId="0" borderId="12" xfId="0" applyFont="1" applyBorder="1" applyAlignment="1">
      <alignment horizontal="center" vertical="center"/>
    </xf>
    <xf numFmtId="181" fontId="45" fillId="8" borderId="4" xfId="1" applyNumberFormat="1" applyFont="1" applyFill="1" applyBorder="1" applyAlignment="1">
      <alignment vertical="center" shrinkToFit="1"/>
    </xf>
    <xf numFmtId="181" fontId="45" fillId="6" borderId="4" xfId="1" applyNumberFormat="1" applyFont="1" applyFill="1" applyBorder="1" applyAlignment="1">
      <alignment vertical="center" shrinkToFit="1"/>
    </xf>
    <xf numFmtId="38" fontId="47" fillId="3" borderId="4" xfId="1" applyFont="1" applyFill="1" applyBorder="1" applyAlignment="1">
      <alignment horizontal="center" vertical="center" wrapText="1"/>
    </xf>
    <xf numFmtId="0" fontId="49" fillId="0" borderId="5" xfId="0" applyFont="1" applyBorder="1" applyAlignment="1">
      <alignment horizontal="right" vertical="center"/>
    </xf>
    <xf numFmtId="0" fontId="50" fillId="0" borderId="16" xfId="0" applyFont="1" applyBorder="1" applyAlignment="1">
      <alignment horizontal="right" vertical="center"/>
    </xf>
    <xf numFmtId="0" fontId="50" fillId="0" borderId="12" xfId="0" applyFont="1" applyBorder="1" applyAlignment="1">
      <alignment horizontal="right" vertical="center"/>
    </xf>
    <xf numFmtId="0" fontId="52" fillId="0" borderId="5" xfId="0" applyFont="1" applyBorder="1" applyAlignment="1">
      <alignment horizontal="right" vertical="center"/>
    </xf>
    <xf numFmtId="0" fontId="53" fillId="0" borderId="16" xfId="0" applyFont="1" applyBorder="1" applyAlignment="1">
      <alignment horizontal="right" vertical="center"/>
    </xf>
    <xf numFmtId="0" fontId="53" fillId="0" borderId="12" xfId="0" applyFont="1" applyBorder="1" applyAlignment="1">
      <alignment horizontal="right" vertical="center"/>
    </xf>
    <xf numFmtId="0" fontId="46" fillId="0" borderId="5" xfId="0" applyFont="1" applyBorder="1" applyAlignment="1">
      <alignment horizontal="right" vertical="center" shrinkToFit="1"/>
    </xf>
    <xf numFmtId="0" fontId="46" fillId="0" borderId="12" xfId="0" applyFont="1" applyBorder="1" applyAlignment="1">
      <alignment horizontal="right" vertical="center" shrinkToFit="1"/>
    </xf>
    <xf numFmtId="0" fontId="46" fillId="0" borderId="6" xfId="0" applyFont="1" applyBorder="1" applyAlignment="1">
      <alignment horizontal="center" vertical="center" textRotation="255" wrapText="1"/>
    </xf>
    <xf numFmtId="0" fontId="46" fillId="0" borderId="23" xfId="0" applyFont="1" applyBorder="1" applyAlignment="1">
      <alignment horizontal="center" vertical="center" textRotation="255"/>
    </xf>
    <xf numFmtId="0" fontId="46" fillId="0" borderId="7" xfId="0" applyFont="1" applyBorder="1" applyAlignment="1">
      <alignment horizontal="center" vertical="center" textRotation="255"/>
    </xf>
    <xf numFmtId="0" fontId="46" fillId="0" borderId="6" xfId="0" applyFont="1" applyBorder="1" applyAlignment="1">
      <alignment horizontal="center" vertical="center" textRotation="255"/>
    </xf>
    <xf numFmtId="0" fontId="46" fillId="0" borderId="5" xfId="0" applyFont="1" applyBorder="1" applyAlignment="1">
      <alignment horizontal="center" vertical="center"/>
    </xf>
    <xf numFmtId="0" fontId="0" fillId="0" borderId="16" xfId="0" applyBorder="1">
      <alignment vertical="center"/>
    </xf>
    <xf numFmtId="0" fontId="0" fillId="0" borderId="12" xfId="0" applyBorder="1">
      <alignment vertical="center"/>
    </xf>
    <xf numFmtId="0" fontId="46" fillId="0" borderId="23" xfId="0" applyFont="1" applyBorder="1" applyAlignment="1">
      <alignment horizontal="center" vertical="center" wrapText="1"/>
    </xf>
    <xf numFmtId="0" fontId="46" fillId="7" borderId="23" xfId="0" applyFont="1" applyFill="1" applyBorder="1" applyAlignment="1">
      <alignment horizontal="center" vertical="center" wrapText="1"/>
    </xf>
    <xf numFmtId="0" fontId="46" fillId="0" borderId="137" xfId="0" applyFont="1" applyBorder="1" applyAlignment="1">
      <alignment horizontal="center" vertical="center" shrinkToFit="1"/>
    </xf>
    <xf numFmtId="38" fontId="46" fillId="0" borderId="6" xfId="1" applyFont="1" applyBorder="1" applyAlignment="1">
      <alignment horizontal="center" vertical="top" shrinkToFit="1"/>
    </xf>
    <xf numFmtId="38" fontId="46" fillId="0" borderId="23" xfId="1" applyFont="1" applyBorder="1" applyAlignment="1">
      <alignment horizontal="center" vertical="top" shrinkToFit="1"/>
    </xf>
    <xf numFmtId="38" fontId="46" fillId="0" borderId="7" xfId="1" applyFont="1" applyBorder="1" applyAlignment="1">
      <alignment horizontal="center" vertical="top" shrinkToFit="1"/>
    </xf>
    <xf numFmtId="0" fontId="47" fillId="0" borderId="4" xfId="0" applyFont="1" applyBorder="1" applyAlignment="1">
      <alignment horizontal="center" vertical="center" textRotation="255" wrapText="1"/>
    </xf>
    <xf numFmtId="0" fontId="47" fillId="0" borderId="4" xfId="0" applyFont="1" applyBorder="1" applyAlignment="1">
      <alignment horizontal="center" vertical="center" textRotation="255"/>
    </xf>
    <xf numFmtId="0" fontId="45" fillId="0" borderId="4" xfId="0" applyFont="1" applyBorder="1" applyAlignment="1">
      <alignment horizontal="center" vertical="center" textRotation="255" wrapText="1"/>
    </xf>
    <xf numFmtId="0" fontId="46" fillId="0" borderId="5" xfId="0" applyFont="1" applyBorder="1" applyAlignment="1">
      <alignment horizontal="right" vertical="center"/>
    </xf>
    <xf numFmtId="0" fontId="0" fillId="0" borderId="12" xfId="0" applyBorder="1" applyAlignment="1">
      <alignment horizontal="right" vertical="center"/>
    </xf>
    <xf numFmtId="0" fontId="0" fillId="0" borderId="23" xfId="0" applyBorder="1">
      <alignment vertical="center"/>
    </xf>
    <xf numFmtId="0" fontId="0" fillId="0" borderId="7" xfId="0" applyBorder="1">
      <alignment vertical="center"/>
    </xf>
    <xf numFmtId="181" fontId="45" fillId="9" borderId="4" xfId="1" applyNumberFormat="1" applyFont="1" applyFill="1" applyBorder="1" applyAlignment="1">
      <alignment vertical="center" shrinkToFit="1"/>
    </xf>
    <xf numFmtId="0" fontId="57" fillId="0" borderId="27" xfId="0" applyFont="1" applyBorder="1" applyAlignment="1" applyProtection="1">
      <alignment horizontal="left" vertical="center"/>
      <protection locked="0"/>
    </xf>
    <xf numFmtId="0" fontId="57" fillId="0" borderId="112" xfId="0" applyFont="1" applyBorder="1" applyAlignment="1" applyProtection="1">
      <alignment horizontal="left" vertical="center"/>
      <protection locked="0"/>
    </xf>
    <xf numFmtId="0" fontId="57" fillId="0" borderId="51" xfId="0" applyFont="1" applyBorder="1" applyAlignment="1" applyProtection="1">
      <alignment horizontal="left" vertical="center"/>
      <protection locked="0"/>
    </xf>
    <xf numFmtId="0" fontId="57" fillId="0" borderId="143" xfId="0" applyFont="1" applyBorder="1" applyAlignment="1" applyProtection="1">
      <alignment horizontal="left" vertical="center"/>
      <protection locked="0"/>
    </xf>
    <xf numFmtId="0" fontId="57" fillId="0" borderId="129" xfId="0" applyFont="1" applyBorder="1" applyAlignment="1" applyProtection="1">
      <alignment horizontal="left" vertical="center"/>
      <protection locked="0"/>
    </xf>
    <xf numFmtId="0" fontId="57" fillId="0" borderId="146" xfId="0" applyFont="1" applyBorder="1" applyAlignment="1" applyProtection="1">
      <alignment horizontal="left" vertical="center"/>
      <protection locked="0"/>
    </xf>
    <xf numFmtId="0" fontId="59" fillId="0" borderId="78" xfId="0" applyFont="1" applyBorder="1" applyAlignment="1" applyProtection="1">
      <alignment horizontal="center" vertical="center" wrapText="1"/>
      <protection locked="0"/>
    </xf>
    <xf numFmtId="0" fontId="59" fillId="0" borderId="80" xfId="0" applyFont="1" applyBorder="1" applyAlignment="1" applyProtection="1">
      <alignment horizontal="center" vertical="center" wrapText="1"/>
      <protection locked="0"/>
    </xf>
    <xf numFmtId="0" fontId="59" fillId="0" borderId="98" xfId="0" applyFont="1" applyBorder="1" applyAlignment="1" applyProtection="1">
      <alignment horizontal="center" vertical="center" wrapText="1"/>
      <protection locked="0"/>
    </xf>
    <xf numFmtId="0" fontId="59" fillId="0" borderId="28" xfId="0" applyFont="1" applyBorder="1" applyAlignment="1" applyProtection="1">
      <alignment horizontal="center" vertical="center" wrapText="1"/>
      <protection locked="0"/>
    </xf>
    <xf numFmtId="0" fontId="59" fillId="0" borderId="11" xfId="0" applyFont="1" applyBorder="1" applyAlignment="1" applyProtection="1">
      <alignment horizontal="center" vertical="center" wrapText="1"/>
      <protection locked="0"/>
    </xf>
    <xf numFmtId="0" fontId="59" fillId="0" borderId="21" xfId="0" applyFont="1" applyBorder="1" applyAlignment="1" applyProtection="1">
      <alignment horizontal="center" vertical="center" wrapText="1"/>
      <protection locked="0"/>
    </xf>
    <xf numFmtId="0" fontId="55" fillId="0" borderId="0" xfId="0" applyFont="1" applyAlignment="1" applyProtection="1">
      <alignment horizontal="center" vertical="center"/>
      <protection locked="0"/>
    </xf>
    <xf numFmtId="0" fontId="56" fillId="0" borderId="10" xfId="0" applyFont="1" applyBorder="1" applyAlignment="1" applyProtection="1">
      <alignment horizontal="center" vertical="center"/>
      <protection locked="0"/>
    </xf>
    <xf numFmtId="0" fontId="56" fillId="0" borderId="13" xfId="0" applyFont="1" applyBorder="1" applyAlignment="1" applyProtection="1">
      <alignment horizontal="center" vertical="center"/>
      <protection locked="0"/>
    </xf>
    <xf numFmtId="0" fontId="56" fillId="0" borderId="9" xfId="0" applyFont="1" applyBorder="1" applyAlignment="1" applyProtection="1">
      <alignment horizontal="center" vertical="center"/>
      <protection locked="0"/>
    </xf>
    <xf numFmtId="0" fontId="59" fillId="0" borderId="78" xfId="0" applyFont="1" applyBorder="1" applyAlignment="1" applyProtection="1">
      <alignment horizontal="center" vertical="center"/>
      <protection locked="0"/>
    </xf>
    <xf numFmtId="0" fontId="59" fillId="0" borderId="80" xfId="0" applyFont="1" applyBorder="1" applyAlignment="1" applyProtection="1">
      <alignment horizontal="center" vertical="center"/>
      <protection locked="0"/>
    </xf>
    <xf numFmtId="0" fontId="59" fillId="0" borderId="28" xfId="0" applyFont="1" applyBorder="1" applyAlignment="1" applyProtection="1">
      <alignment horizontal="center" vertical="center"/>
      <protection locked="0"/>
    </xf>
    <xf numFmtId="0" fontId="59" fillId="0" borderId="11" xfId="0" applyFont="1" applyBorder="1" applyAlignment="1" applyProtection="1">
      <alignment horizontal="center" vertical="center"/>
      <protection locked="0"/>
    </xf>
    <xf numFmtId="0" fontId="57" fillId="0" borderId="98" xfId="0" applyFont="1" applyBorder="1" applyAlignment="1" applyProtection="1">
      <alignment horizontal="center" vertical="center" wrapText="1"/>
      <protection locked="0"/>
    </xf>
    <xf numFmtId="0" fontId="57" fillId="0" borderId="21" xfId="0" applyFont="1" applyBorder="1" applyAlignment="1" applyProtection="1">
      <alignment horizontal="center" vertical="center" wrapText="1"/>
      <protection locked="0"/>
    </xf>
    <xf numFmtId="0" fontId="57" fillId="0" borderId="26" xfId="0" applyFont="1" applyBorder="1" applyAlignment="1" applyProtection="1">
      <alignment horizontal="center" vertical="center"/>
      <protection locked="0"/>
    </xf>
    <xf numFmtId="0" fontId="57" fillId="0" borderId="16" xfId="0" applyFont="1" applyBorder="1" applyAlignment="1" applyProtection="1">
      <alignment horizontal="center" vertical="center"/>
      <protection locked="0"/>
    </xf>
    <xf numFmtId="0" fontId="57" fillId="0" borderId="19" xfId="0" applyFont="1" applyBorder="1" applyAlignment="1" applyProtection="1">
      <alignment horizontal="center" vertical="center"/>
      <protection locked="0"/>
    </xf>
    <xf numFmtId="0" fontId="57" fillId="0" borderId="17" xfId="0" applyFont="1" applyBorder="1" applyAlignment="1" applyProtection="1">
      <alignment horizontal="left" vertical="center"/>
      <protection locked="0"/>
    </xf>
    <xf numFmtId="0" fontId="57" fillId="0" borderId="28" xfId="0" applyFont="1" applyBorder="1" applyAlignment="1" applyProtection="1">
      <alignment horizontal="left" vertical="center"/>
      <protection locked="0"/>
    </xf>
    <xf numFmtId="0" fontId="57" fillId="0" borderId="11" xfId="0" applyFont="1" applyBorder="1" applyAlignment="1" applyProtection="1">
      <alignment horizontal="left" vertical="center"/>
      <protection locked="0"/>
    </xf>
    <xf numFmtId="0" fontId="57" fillId="0" borderId="18" xfId="0" applyFont="1" applyBorder="1" applyAlignment="1" applyProtection="1">
      <alignment horizontal="left" vertical="center"/>
      <protection locked="0"/>
    </xf>
    <xf numFmtId="0" fontId="57" fillId="0" borderId="0" xfId="0" applyFont="1" applyAlignment="1" applyProtection="1">
      <alignment horizontal="left" vertical="center"/>
      <protection locked="0"/>
    </xf>
    <xf numFmtId="0" fontId="57" fillId="0" borderId="142" xfId="0" applyFont="1" applyBorder="1" applyAlignment="1" applyProtection="1">
      <alignment horizontal="left" vertical="center"/>
      <protection locked="0"/>
    </xf>
    <xf numFmtId="0" fontId="57" fillId="0" borderId="107" xfId="0" applyFont="1" applyBorder="1" applyAlignment="1" applyProtection="1">
      <alignment horizontal="left" vertical="center"/>
      <protection locked="0"/>
    </xf>
    <xf numFmtId="0" fontId="57" fillId="0" borderId="8" xfId="0" applyFont="1" applyBorder="1" applyAlignment="1" applyProtection="1">
      <alignment horizontal="left" vertical="center" wrapText="1"/>
      <protection locked="0"/>
    </xf>
    <xf numFmtId="0" fontId="57" fillId="0" borderId="24" xfId="0" applyFont="1" applyBorder="1" applyAlignment="1" applyProtection="1">
      <alignment horizontal="left" vertical="center"/>
      <protection locked="0"/>
    </xf>
    <xf numFmtId="0" fontId="57" fillId="0" borderId="102" xfId="0" applyFont="1" applyBorder="1" applyAlignment="1" applyProtection="1">
      <alignment horizontal="left" vertical="center"/>
      <protection locked="0"/>
    </xf>
    <xf numFmtId="0" fontId="57" fillId="0" borderId="2" xfId="0" applyFont="1" applyBorder="1" applyAlignment="1" applyProtection="1">
      <alignment horizontal="center" vertical="center" wrapText="1"/>
      <protection locked="0"/>
    </xf>
    <xf numFmtId="0" fontId="57" fillId="0" borderId="65" xfId="0" applyFont="1" applyBorder="1" applyAlignment="1" applyProtection="1">
      <alignment horizontal="center" vertical="center" wrapText="1"/>
      <protection locked="0"/>
    </xf>
    <xf numFmtId="184" fontId="57" fillId="0" borderId="16" xfId="0" applyNumberFormat="1" applyFont="1" applyBorder="1" applyAlignment="1" applyProtection="1">
      <alignment horizontal="center" vertical="center"/>
      <protection locked="0"/>
    </xf>
    <xf numFmtId="184" fontId="57" fillId="0" borderId="19" xfId="0" applyNumberFormat="1" applyFont="1" applyBorder="1" applyAlignment="1" applyProtection="1">
      <alignment horizontal="center" vertical="center"/>
      <protection locked="0"/>
    </xf>
    <xf numFmtId="0" fontId="57" fillId="0" borderId="26" xfId="0" applyFont="1" applyBorder="1" applyAlignment="1" applyProtection="1">
      <alignment horizontal="left" vertical="center"/>
      <protection locked="0"/>
    </xf>
    <xf numFmtId="0" fontId="57" fillId="0" borderId="12" xfId="0" applyFont="1" applyBorder="1" applyAlignment="1" applyProtection="1">
      <alignment horizontal="left" vertical="center"/>
      <protection locked="0"/>
    </xf>
    <xf numFmtId="0" fontId="57" fillId="10" borderId="10" xfId="0" applyFont="1" applyFill="1" applyBorder="1" applyAlignment="1" applyProtection="1">
      <alignment horizontal="left" vertical="top"/>
      <protection locked="0"/>
    </xf>
    <xf numFmtId="0" fontId="57" fillId="10" borderId="13" xfId="0" applyFont="1" applyFill="1" applyBorder="1" applyAlignment="1" applyProtection="1">
      <alignment horizontal="left" vertical="top"/>
      <protection locked="0"/>
    </xf>
    <xf numFmtId="0" fontId="57" fillId="10" borderId="9" xfId="0" applyFont="1" applyFill="1" applyBorder="1" applyAlignment="1" applyProtection="1">
      <alignment horizontal="left" vertical="top"/>
      <protection locked="0"/>
    </xf>
    <xf numFmtId="0" fontId="57" fillId="0" borderId="87" xfId="0" applyFont="1" applyBorder="1" applyAlignment="1" applyProtection="1">
      <alignment horizontal="left" vertical="center"/>
      <protection locked="0"/>
    </xf>
    <xf numFmtId="0" fontId="57" fillId="0" borderId="115" xfId="0" applyFont="1" applyBorder="1" applyAlignment="1" applyProtection="1">
      <alignment horizontal="left" vertical="center"/>
      <protection locked="0"/>
    </xf>
    <xf numFmtId="0" fontId="57" fillId="0" borderId="57" xfId="0" applyFont="1" applyBorder="1" applyAlignment="1" applyProtection="1">
      <alignment horizontal="left" vertical="center"/>
      <protection locked="0"/>
    </xf>
    <xf numFmtId="0" fontId="57" fillId="0" borderId="154" xfId="0" applyFont="1" applyBorder="1" applyAlignment="1" applyProtection="1">
      <alignment horizontal="left" vertical="center"/>
      <protection locked="0"/>
    </xf>
    <xf numFmtId="184" fontId="57" fillId="0" borderId="26" xfId="0" applyNumberFormat="1" applyFont="1" applyBorder="1" applyAlignment="1" applyProtection="1">
      <alignment horizontal="center" vertical="center"/>
      <protection locked="0"/>
    </xf>
    <xf numFmtId="38" fontId="38" fillId="3" borderId="90" xfId="1" applyFont="1" applyFill="1" applyBorder="1" applyAlignment="1">
      <alignment horizontal="right" vertical="center"/>
    </xf>
    <xf numFmtId="38" fontId="38" fillId="3" borderId="127" xfId="1" applyFont="1" applyFill="1" applyBorder="1" applyAlignment="1">
      <alignment horizontal="right" vertical="center"/>
    </xf>
    <xf numFmtId="38" fontId="38" fillId="3" borderId="10" xfId="1" applyFont="1" applyFill="1" applyBorder="1" applyAlignment="1">
      <alignment horizontal="right" vertical="center"/>
    </xf>
    <xf numFmtId="38" fontId="38" fillId="3" borderId="9" xfId="1" applyFont="1" applyFill="1" applyBorder="1" applyAlignment="1">
      <alignment horizontal="right" vertical="center"/>
    </xf>
    <xf numFmtId="38" fontId="39" fillId="3" borderId="129" xfId="1" applyFont="1" applyFill="1" applyBorder="1" applyAlignment="1">
      <alignment horizontal="right" vertical="center"/>
    </xf>
    <xf numFmtId="38" fontId="39" fillId="3" borderId="128" xfId="1" applyFont="1" applyFill="1" applyBorder="1" applyAlignment="1">
      <alignment horizontal="right" vertical="center"/>
    </xf>
    <xf numFmtId="0" fontId="5" fillId="0" borderId="11" xfId="0" applyFont="1" applyBorder="1" applyProtection="1">
      <alignment vertical="center"/>
      <protection locked="0"/>
    </xf>
    <xf numFmtId="0" fontId="5" fillId="0" borderId="102" xfId="0" applyFont="1" applyBorder="1" applyProtection="1">
      <alignment vertical="center"/>
      <protection locked="0"/>
    </xf>
    <xf numFmtId="0" fontId="8" fillId="0" borderId="87" xfId="0" applyFont="1" applyBorder="1" applyProtection="1">
      <alignment vertical="center"/>
      <protection locked="0"/>
    </xf>
    <xf numFmtId="0" fontId="8" fillId="0" borderId="86" xfId="0" applyFont="1" applyBorder="1" applyProtection="1">
      <alignment vertical="center"/>
      <protection locked="0"/>
    </xf>
    <xf numFmtId="0" fontId="8" fillId="0" borderId="115" xfId="0" applyFont="1" applyBorder="1" applyProtection="1">
      <alignment vertical="center"/>
      <protection locked="0"/>
    </xf>
    <xf numFmtId="0" fontId="5" fillId="0" borderId="16" xfId="0" applyFont="1" applyBorder="1" applyProtection="1">
      <alignment vertical="center"/>
      <protection locked="0"/>
    </xf>
    <xf numFmtId="0" fontId="5" fillId="0" borderId="12" xfId="0" applyFont="1" applyBorder="1" applyProtection="1">
      <alignment vertical="center"/>
      <protection locked="0"/>
    </xf>
    <xf numFmtId="0" fontId="5" fillId="0" borderId="30" xfId="0" applyFont="1" applyBorder="1" applyProtection="1">
      <alignment vertical="center"/>
      <protection locked="0"/>
    </xf>
    <xf numFmtId="0" fontId="5" fillId="0" borderId="43" xfId="0" applyFont="1" applyBorder="1" applyProtection="1">
      <alignment vertical="center"/>
      <protection locked="0"/>
    </xf>
    <xf numFmtId="0" fontId="5" fillId="0" borderId="0" xfId="0" applyFont="1" applyAlignment="1" applyProtection="1">
      <alignment horizontal="left" vertical="top" wrapText="1"/>
      <protection locked="0"/>
    </xf>
    <xf numFmtId="0" fontId="5" fillId="0" borderId="60" xfId="0" applyFont="1" applyBorder="1" applyAlignment="1" applyProtection="1">
      <alignment horizontal="center" vertical="center"/>
      <protection locked="0"/>
    </xf>
    <xf numFmtId="0" fontId="5" fillId="0" borderId="58" xfId="0" applyFont="1" applyBorder="1" applyAlignment="1" applyProtection="1">
      <alignment horizontal="center" vertical="center"/>
      <protection locked="0"/>
    </xf>
    <xf numFmtId="0" fontId="5" fillId="0" borderId="16"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34" xfId="0" applyFont="1" applyBorder="1" applyProtection="1">
      <alignment vertical="center"/>
      <protection locked="0"/>
    </xf>
    <xf numFmtId="0" fontId="5" fillId="0" borderId="81" xfId="0" applyFont="1" applyBorder="1" applyProtection="1">
      <alignment vertical="center"/>
      <protection locked="0"/>
    </xf>
    <xf numFmtId="0" fontId="5" fillId="0" borderId="39" xfId="0" applyFont="1" applyBorder="1" applyProtection="1">
      <alignment vertical="center"/>
      <protection locked="0"/>
    </xf>
    <xf numFmtId="0" fontId="5" fillId="0" borderId="44" xfId="0" applyFont="1" applyBorder="1" applyProtection="1">
      <alignment vertical="center"/>
      <protection locked="0"/>
    </xf>
    <xf numFmtId="0" fontId="5" fillId="0" borderId="34" xfId="0" applyFont="1" applyBorder="1" applyAlignment="1" applyProtection="1">
      <alignment horizontal="left" vertical="center"/>
      <protection locked="0"/>
    </xf>
    <xf numFmtId="0" fontId="5" fillId="0" borderId="81" xfId="0" applyFont="1" applyBorder="1" applyAlignment="1" applyProtection="1">
      <alignment horizontal="left" vertical="center"/>
      <protection locked="0"/>
    </xf>
    <xf numFmtId="177" fontId="18" fillId="2" borderId="64" xfId="0" applyNumberFormat="1" applyFont="1" applyFill="1" applyBorder="1" applyAlignment="1">
      <alignment horizontal="right" vertical="center"/>
    </xf>
    <xf numFmtId="177" fontId="18" fillId="2" borderId="65" xfId="0" applyNumberFormat="1" applyFont="1" applyFill="1" applyBorder="1" applyAlignment="1">
      <alignment horizontal="right" vertical="center"/>
    </xf>
    <xf numFmtId="0" fontId="5" fillId="0" borderId="71" xfId="0" applyFont="1" applyBorder="1" applyAlignment="1" applyProtection="1">
      <alignment horizontal="left" vertical="center"/>
      <protection locked="0"/>
    </xf>
    <xf numFmtId="0" fontId="5" fillId="0" borderId="75" xfId="0" applyFont="1" applyBorder="1" applyAlignment="1" applyProtection="1">
      <alignment horizontal="left" vertical="center"/>
      <protection locked="0"/>
    </xf>
    <xf numFmtId="0" fontId="5" fillId="0" borderId="72" xfId="0" applyFont="1" applyBorder="1" applyAlignment="1" applyProtection="1">
      <alignment horizontal="left" vertical="center"/>
      <protection locked="0"/>
    </xf>
    <xf numFmtId="0" fontId="5" fillId="0" borderId="76" xfId="0" applyFont="1" applyBorder="1" applyAlignment="1" applyProtection="1">
      <alignment horizontal="left" vertical="center"/>
      <protection locked="0"/>
    </xf>
    <xf numFmtId="0" fontId="33" fillId="0" borderId="0" xfId="0" applyFont="1" applyAlignment="1" applyProtection="1">
      <alignment horizontal="left" vertical="center"/>
      <protection locked="0"/>
    </xf>
    <xf numFmtId="0" fontId="12" fillId="0" borderId="0" xfId="0" applyFont="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78" xfId="0" applyFont="1" applyBorder="1" applyAlignment="1" applyProtection="1">
      <alignment horizontal="center" vertical="center"/>
      <protection locked="0"/>
    </xf>
    <xf numFmtId="0" fontId="5" fillId="0" borderId="80" xfId="0" applyFont="1" applyBorder="1" applyAlignment="1" applyProtection="1">
      <alignment horizontal="center" vertical="center"/>
      <protection locked="0"/>
    </xf>
    <xf numFmtId="0" fontId="5" fillId="0" borderId="98"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8" xfId="0" applyNumberFormat="1" applyFont="1" applyBorder="1" applyAlignment="1">
      <alignment horizontal="center" vertical="center" wrapText="1"/>
    </xf>
    <xf numFmtId="176" fontId="5" fillId="0" borderId="21" xfId="0" applyNumberFormat="1" applyFont="1" applyBorder="1" applyAlignment="1">
      <alignment horizontal="center" vertical="center" wrapText="1"/>
    </xf>
    <xf numFmtId="0" fontId="8" fillId="0" borderId="75"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5" fillId="0" borderId="2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9" xfId="0" applyFont="1" applyBorder="1" applyAlignment="1" applyProtection="1">
      <alignment horizontal="left" vertical="center"/>
      <protection locked="0"/>
    </xf>
    <xf numFmtId="0" fontId="5" fillId="0" borderId="28" xfId="0" applyFont="1" applyBorder="1" applyAlignment="1">
      <alignment horizontal="center" vertical="center" wrapText="1"/>
    </xf>
    <xf numFmtId="0" fontId="5" fillId="0" borderId="21" xfId="0" applyFont="1" applyBorder="1" applyAlignment="1">
      <alignment horizontal="center" vertical="center" wrapText="1"/>
    </xf>
    <xf numFmtId="176" fontId="5" fillId="0" borderId="25" xfId="0" applyNumberFormat="1" applyFont="1" applyBorder="1" applyAlignment="1">
      <alignment horizontal="center" vertical="center" wrapText="1"/>
    </xf>
    <xf numFmtId="176" fontId="5" fillId="0" borderId="22" xfId="0" applyNumberFormat="1" applyFont="1" applyBorder="1" applyAlignment="1">
      <alignment horizontal="center" vertical="center" wrapText="1"/>
    </xf>
    <xf numFmtId="0" fontId="5" fillId="0" borderId="35" xfId="0" applyFont="1" applyBorder="1" applyAlignment="1" applyProtection="1">
      <alignment horizontal="left" vertical="center"/>
      <protection locked="0"/>
    </xf>
    <xf numFmtId="0" fontId="5" fillId="0" borderId="27"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16" xfId="0" applyFont="1" applyBorder="1" applyAlignment="1" applyProtection="1">
      <alignment horizontal="left" vertical="center" wrapText="1"/>
      <protection locked="0"/>
    </xf>
    <xf numFmtId="176" fontId="5" fillId="0" borderId="21" xfId="0" applyNumberFormat="1" applyFont="1" applyBorder="1" applyAlignment="1">
      <alignment horizontal="center" vertical="center"/>
    </xf>
    <xf numFmtId="176" fontId="5" fillId="0" borderId="10" xfId="0" applyNumberFormat="1" applyFont="1" applyBorder="1" applyAlignment="1" applyProtection="1">
      <alignment horizontal="center" vertical="center"/>
      <protection locked="0"/>
    </xf>
    <xf numFmtId="176" fontId="5" fillId="0" borderId="13" xfId="0" applyNumberFormat="1" applyFont="1" applyBorder="1" applyAlignment="1" applyProtection="1">
      <alignment horizontal="center" vertical="center"/>
      <protection locked="0"/>
    </xf>
    <xf numFmtId="176" fontId="5" fillId="0" borderId="9" xfId="0" applyNumberFormat="1" applyFont="1" applyBorder="1" applyAlignment="1" applyProtection="1">
      <alignment horizontal="center" vertical="center"/>
      <protection locked="0"/>
    </xf>
    <xf numFmtId="0" fontId="5" fillId="0" borderId="34" xfId="0" applyFont="1" applyBorder="1" applyAlignment="1" applyProtection="1">
      <alignment horizontal="left" vertical="center" wrapText="1"/>
      <protection locked="0"/>
    </xf>
    <xf numFmtId="0" fontId="5" fillId="0" borderId="81"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indent="1"/>
      <protection locked="0"/>
    </xf>
    <xf numFmtId="0" fontId="5" fillId="0" borderId="81" xfId="0" applyFont="1" applyBorder="1" applyAlignment="1" applyProtection="1">
      <alignment horizontal="left" vertical="center" wrapText="1" indent="1"/>
      <protection locked="0"/>
    </xf>
    <xf numFmtId="0" fontId="9" fillId="0" borderId="16"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5" fillId="0" borderId="92" xfId="0" applyFont="1" applyBorder="1" applyAlignment="1" applyProtection="1">
      <alignment horizontal="left" vertical="center"/>
      <protection locked="0"/>
    </xf>
    <xf numFmtId="0" fontId="5" fillId="0" borderId="93"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5" fillId="0" borderId="82" xfId="0" applyFont="1" applyBorder="1" applyAlignment="1" applyProtection="1">
      <alignment horizontal="left" vertical="center"/>
      <protection locked="0"/>
    </xf>
    <xf numFmtId="0" fontId="5" fillId="0" borderId="29"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176" fontId="5" fillId="0" borderId="22" xfId="0" applyNumberFormat="1" applyFont="1" applyBorder="1" applyAlignment="1">
      <alignment horizontal="center" vertical="center"/>
    </xf>
    <xf numFmtId="0" fontId="5" fillId="0" borderId="24" xfId="0" applyFont="1" applyBorder="1" applyAlignment="1" applyProtection="1">
      <alignment horizontal="left" vertical="center"/>
      <protection locked="0"/>
    </xf>
    <xf numFmtId="0" fontId="5" fillId="0" borderId="102" xfId="0" applyFont="1" applyBorder="1" applyAlignment="1" applyProtection="1">
      <alignment horizontal="left" vertical="center"/>
      <protection locked="0"/>
    </xf>
    <xf numFmtId="176" fontId="5" fillId="0" borderId="25" xfId="0" applyNumberFormat="1" applyFont="1" applyBorder="1" applyAlignment="1" applyProtection="1">
      <alignment horizontal="center" vertical="center" wrapText="1"/>
      <protection locked="0"/>
    </xf>
    <xf numFmtId="176" fontId="5" fillId="0" borderId="22" xfId="0" applyNumberFormat="1" applyFont="1" applyBorder="1" applyAlignment="1" applyProtection="1">
      <alignment horizontal="center" vertical="center"/>
      <protection locked="0"/>
    </xf>
    <xf numFmtId="0" fontId="5" fillId="0" borderId="112" xfId="0" applyFont="1" applyBorder="1" applyAlignment="1" applyProtection="1">
      <alignment horizontal="left" vertical="center"/>
      <protection locked="0"/>
    </xf>
    <xf numFmtId="0" fontId="5" fillId="0" borderId="85" xfId="0" applyFont="1" applyBorder="1" applyAlignment="1" applyProtection="1">
      <alignment horizontal="left" vertical="center"/>
      <protection locked="0"/>
    </xf>
    <xf numFmtId="0" fontId="5" fillId="0" borderId="86" xfId="0" applyFont="1" applyBorder="1" applyAlignment="1" applyProtection="1">
      <alignment horizontal="left" vertical="center"/>
      <protection locked="0"/>
    </xf>
    <xf numFmtId="0" fontId="5" fillId="0" borderId="79"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12" xfId="0" applyFont="1" applyBorder="1" applyAlignment="1" applyProtection="1">
      <alignment horizontal="center" vertical="center"/>
      <protection locked="0"/>
    </xf>
    <xf numFmtId="0" fontId="9" fillId="0" borderId="40" xfId="0" applyFont="1" applyBorder="1" applyAlignment="1" applyProtection="1">
      <alignment horizontal="left" vertical="center" wrapText="1"/>
      <protection locked="0"/>
    </xf>
    <xf numFmtId="0" fontId="9" fillId="0" borderId="4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CCFFFF"/>
      <color rgb="FFFFFFCC"/>
      <color rgb="FFFFCCFF"/>
      <color rgb="FFA0FF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99391</xdr:colOff>
      <xdr:row>13</xdr:row>
      <xdr:rowOff>88347</xdr:rowOff>
    </xdr:from>
    <xdr:to>
      <xdr:col>10</xdr:col>
      <xdr:colOff>292652</xdr:colOff>
      <xdr:row>14</xdr:row>
      <xdr:rowOff>77303</xdr:rowOff>
    </xdr:to>
    <xdr:sp macro="" textlink="">
      <xdr:nvSpPr>
        <xdr:cNvPr id="2" name="矢印: 右 1">
          <a:extLst>
            <a:ext uri="{FF2B5EF4-FFF2-40B4-BE49-F238E27FC236}">
              <a16:creationId xmlns:a16="http://schemas.microsoft.com/office/drawing/2014/main" id="{323A3979-3DA0-42AC-9EA5-EF1273DBD6C6}"/>
            </a:ext>
          </a:extLst>
        </xdr:cNvPr>
        <xdr:cNvSpPr/>
      </xdr:nvSpPr>
      <xdr:spPr>
        <a:xfrm>
          <a:off x="5136211" y="2595327"/>
          <a:ext cx="193261" cy="164216"/>
        </a:xfrm>
        <a:prstGeom prst="rightArrow">
          <a:avLst/>
        </a:prstGeom>
        <a:solidFill>
          <a:srgbClr val="FF00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275881</xdr:colOff>
      <xdr:row>12</xdr:row>
      <xdr:rowOff>147016</xdr:rowOff>
    </xdr:from>
    <xdr:to>
      <xdr:col>12</xdr:col>
      <xdr:colOff>490537</xdr:colOff>
      <xdr:row>15</xdr:row>
      <xdr:rowOff>33338</xdr:rowOff>
    </xdr:to>
    <xdr:sp macro="" textlink="">
      <xdr:nvSpPr>
        <xdr:cNvPr id="3" name="テキスト ボックス 2">
          <a:extLst>
            <a:ext uri="{FF2B5EF4-FFF2-40B4-BE49-F238E27FC236}">
              <a16:creationId xmlns:a16="http://schemas.microsoft.com/office/drawing/2014/main" id="{34B2F12D-E350-4A77-A761-CB67122029A1}"/>
            </a:ext>
          </a:extLst>
        </xdr:cNvPr>
        <xdr:cNvSpPr txBox="1"/>
      </xdr:nvSpPr>
      <xdr:spPr>
        <a:xfrm>
          <a:off x="5312701" y="2486356"/>
          <a:ext cx="1540536" cy="404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BIZ UDPゴシック" panose="020B0400000000000000" pitchFamily="50" charset="-128"/>
              <a:ea typeface="BIZ UDPゴシック" panose="020B0400000000000000" pitchFamily="50" charset="-128"/>
            </a:rPr>
            <a:t>加算算定対象人数</a:t>
          </a:r>
          <a:endParaRPr kumimoji="1" lang="en-US" altLang="ja-JP" sz="900">
            <a:solidFill>
              <a:srgbClr val="FF0000"/>
            </a:solidFill>
            <a:latin typeface="BIZ UDPゴシック" panose="020B0400000000000000" pitchFamily="50" charset="-128"/>
            <a:ea typeface="BIZ UDPゴシック" panose="020B0400000000000000" pitchFamily="50" charset="-128"/>
          </a:endParaRPr>
        </a:p>
        <a:p>
          <a:r>
            <a:rPr kumimoji="1" lang="ja-JP" altLang="en-US" sz="900">
              <a:solidFill>
                <a:srgbClr val="FF0000"/>
              </a:solidFill>
              <a:latin typeface="BIZ UDPゴシック" panose="020B0400000000000000" pitchFamily="50" charset="-128"/>
              <a:ea typeface="BIZ UDPゴシック" panose="020B0400000000000000" pitchFamily="50" charset="-128"/>
            </a:rPr>
            <a:t>計算表から算出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99391</xdr:colOff>
      <xdr:row>13</xdr:row>
      <xdr:rowOff>88347</xdr:rowOff>
    </xdr:from>
    <xdr:to>
      <xdr:col>10</xdr:col>
      <xdr:colOff>292652</xdr:colOff>
      <xdr:row>14</xdr:row>
      <xdr:rowOff>77303</xdr:rowOff>
    </xdr:to>
    <xdr:sp macro="" textlink="">
      <xdr:nvSpPr>
        <xdr:cNvPr id="3" name="矢印: 右 2">
          <a:extLst>
            <a:ext uri="{FF2B5EF4-FFF2-40B4-BE49-F238E27FC236}">
              <a16:creationId xmlns:a16="http://schemas.microsoft.com/office/drawing/2014/main" id="{DC90895B-A181-425D-9036-59EADA864619}"/>
            </a:ext>
          </a:extLst>
        </xdr:cNvPr>
        <xdr:cNvSpPr/>
      </xdr:nvSpPr>
      <xdr:spPr>
        <a:xfrm>
          <a:off x="5136211" y="6611067"/>
          <a:ext cx="193261" cy="164216"/>
        </a:xfrm>
        <a:prstGeom prst="rightArrow">
          <a:avLst/>
        </a:prstGeom>
        <a:solidFill>
          <a:srgbClr val="FF00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309218</xdr:colOff>
      <xdr:row>12</xdr:row>
      <xdr:rowOff>99391</xdr:rowOff>
    </xdr:from>
    <xdr:to>
      <xdr:col>14</xdr:col>
      <xdr:colOff>0</xdr:colOff>
      <xdr:row>15</xdr:row>
      <xdr:rowOff>99391</xdr:rowOff>
    </xdr:to>
    <xdr:sp macro="" textlink="">
      <xdr:nvSpPr>
        <xdr:cNvPr id="4" name="テキスト ボックス 3">
          <a:extLst>
            <a:ext uri="{FF2B5EF4-FFF2-40B4-BE49-F238E27FC236}">
              <a16:creationId xmlns:a16="http://schemas.microsoft.com/office/drawing/2014/main" id="{CA1236C5-66E0-4988-B0ED-1BF738012DF8}"/>
            </a:ext>
          </a:extLst>
        </xdr:cNvPr>
        <xdr:cNvSpPr txBox="1"/>
      </xdr:nvSpPr>
      <xdr:spPr>
        <a:xfrm>
          <a:off x="5346038" y="6454471"/>
          <a:ext cx="2491630" cy="518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BIZ UDPゴシック" panose="020B0400000000000000" pitchFamily="50" charset="-128"/>
              <a:ea typeface="BIZ UDPゴシック" panose="020B0400000000000000" pitchFamily="50" charset="-128"/>
            </a:rPr>
            <a:t>加算算定対象人数</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r>
            <a:rPr kumimoji="1" lang="ja-JP" altLang="en-US" sz="1100">
              <a:solidFill>
                <a:srgbClr val="FF0000"/>
              </a:solidFill>
              <a:latin typeface="BIZ UDPゴシック" panose="020B0400000000000000" pitchFamily="50" charset="-128"/>
              <a:ea typeface="BIZ UDPゴシック" panose="020B0400000000000000" pitchFamily="50" charset="-128"/>
            </a:rPr>
            <a:t>計算表から算出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C544-4771-48E2-BC56-D6416092986B}">
  <sheetPr>
    <tabColor rgb="FFCCFFFF"/>
  </sheetPr>
  <dimension ref="A1:N81"/>
  <sheetViews>
    <sheetView tabSelected="1" zoomScaleNormal="100" workbookViewId="0">
      <selection activeCell="A4" sqref="A4"/>
    </sheetView>
  </sheetViews>
  <sheetFormatPr defaultRowHeight="18.75"/>
  <cols>
    <col min="2" max="2" width="5.875" style="435" customWidth="1"/>
    <col min="3" max="4" width="5.625" style="435" bestFit="1" customWidth="1"/>
    <col min="5" max="5" width="7.875" style="437" bestFit="1" customWidth="1"/>
    <col min="6" max="6" width="5.875" style="437" customWidth="1"/>
    <col min="7" max="9" width="5.875" style="435" customWidth="1"/>
    <col min="10" max="12" width="8.75" style="437" customWidth="1"/>
    <col min="13" max="13" width="12.5" style="437" customWidth="1"/>
    <col min="14" max="14" width="8.75" customWidth="1"/>
    <col min="15" max="16" width="3.375" customWidth="1"/>
  </cols>
  <sheetData>
    <row r="1" spans="2:13" ht="21">
      <c r="B1" s="361" t="s">
        <v>143</v>
      </c>
      <c r="C1" s="362"/>
      <c r="D1" s="362"/>
      <c r="E1" s="362"/>
      <c r="F1" s="362"/>
      <c r="G1" s="362"/>
      <c r="H1" s="362"/>
      <c r="I1" s="362"/>
      <c r="J1" s="362"/>
      <c r="K1" s="362"/>
      <c r="L1" s="362"/>
      <c r="M1" s="362"/>
    </row>
    <row r="2" spans="2:13">
      <c r="B2" s="363" t="s">
        <v>251</v>
      </c>
      <c r="C2" s="363"/>
      <c r="D2" s="363"/>
      <c r="E2" s="363"/>
      <c r="F2" s="363"/>
      <c r="G2" s="363"/>
      <c r="H2" s="363"/>
      <c r="I2" s="363"/>
      <c r="J2" s="363"/>
      <c r="K2" s="363"/>
      <c r="L2" s="363"/>
      <c r="M2" s="363"/>
    </row>
    <row r="3" spans="2:13">
      <c r="B3" s="519" t="s">
        <v>144</v>
      </c>
      <c r="C3" s="520"/>
      <c r="D3" s="364" t="s">
        <v>145</v>
      </c>
      <c r="E3" s="365"/>
      <c r="F3" s="365"/>
      <c r="G3" s="365"/>
      <c r="H3" s="365"/>
      <c r="I3" s="365"/>
      <c r="J3" s="365"/>
      <c r="K3" s="365"/>
      <c r="L3" s="365"/>
      <c r="M3" s="366"/>
    </row>
    <row r="4" spans="2:13">
      <c r="B4" s="521"/>
      <c r="C4" s="522"/>
      <c r="D4" s="367" t="s">
        <v>146</v>
      </c>
      <c r="E4" s="368"/>
      <c r="F4" s="368"/>
      <c r="G4" s="368"/>
      <c r="H4" s="368"/>
      <c r="I4" s="368"/>
      <c r="J4" s="368"/>
      <c r="K4" s="368"/>
      <c r="L4" s="368"/>
      <c r="M4" s="369"/>
    </row>
    <row r="5" spans="2:13">
      <c r="B5" s="521"/>
      <c r="C5" s="522"/>
      <c r="D5" s="367" t="s">
        <v>147</v>
      </c>
      <c r="E5" s="368"/>
      <c r="F5" s="368"/>
      <c r="G5" s="368"/>
      <c r="H5" s="368"/>
      <c r="I5" s="368"/>
      <c r="J5" s="368"/>
      <c r="K5" s="368"/>
      <c r="L5" s="368"/>
      <c r="M5" s="369"/>
    </row>
    <row r="6" spans="2:13">
      <c r="B6" s="521"/>
      <c r="C6" s="522"/>
      <c r="D6" s="367" t="s">
        <v>148</v>
      </c>
      <c r="E6" s="368"/>
      <c r="F6" s="368"/>
      <c r="G6" s="368"/>
      <c r="H6" s="368"/>
      <c r="I6" s="368"/>
      <c r="J6" s="368"/>
      <c r="K6" s="368"/>
      <c r="L6" s="368"/>
      <c r="M6" s="369"/>
    </row>
    <row r="7" spans="2:13">
      <c r="B7" s="523"/>
      <c r="C7" s="524"/>
      <c r="D7" s="370" t="s">
        <v>149</v>
      </c>
      <c r="E7" s="371"/>
      <c r="F7" s="371"/>
      <c r="G7" s="371"/>
      <c r="H7" s="371"/>
      <c r="I7" s="371"/>
      <c r="J7" s="371"/>
      <c r="K7" s="371"/>
      <c r="L7" s="371"/>
      <c r="M7" s="372"/>
    </row>
    <row r="8" spans="2:13" ht="7.5" customHeight="1">
      <c r="B8" s="373"/>
      <c r="C8" s="373"/>
      <c r="D8" s="373"/>
      <c r="E8" s="373"/>
      <c r="F8" s="373"/>
      <c r="G8" s="373"/>
      <c r="H8" s="373"/>
      <c r="I8" s="373"/>
      <c r="J8" s="373"/>
      <c r="K8" s="373"/>
      <c r="L8" s="373"/>
      <c r="M8" s="373"/>
    </row>
    <row r="9" spans="2:13" ht="19.5">
      <c r="B9" s="374" t="s">
        <v>150</v>
      </c>
      <c r="C9" s="375"/>
      <c r="D9" s="373" t="s">
        <v>151</v>
      </c>
      <c r="E9" s="373"/>
      <c r="F9" s="373"/>
      <c r="G9" s="373"/>
      <c r="H9" s="373"/>
      <c r="I9" s="373"/>
      <c r="J9" s="373"/>
      <c r="K9" s="373"/>
      <c r="L9" s="373"/>
      <c r="M9" s="373"/>
    </row>
    <row r="10" spans="2:13" ht="9" customHeight="1">
      <c r="B10" s="373"/>
      <c r="C10" s="373"/>
      <c r="D10" s="373"/>
      <c r="E10" s="373"/>
      <c r="F10" s="373"/>
      <c r="G10" s="373"/>
      <c r="H10" s="373"/>
      <c r="I10" s="373"/>
      <c r="J10" s="373"/>
      <c r="K10" s="373"/>
      <c r="L10" s="373"/>
      <c r="M10" s="373"/>
    </row>
    <row r="11" spans="2:13" s="378" customFormat="1" ht="16.5">
      <c r="B11" s="376" t="s">
        <v>152</v>
      </c>
      <c r="C11" s="363"/>
      <c r="D11" s="363"/>
      <c r="E11" s="363"/>
      <c r="F11" s="363"/>
      <c r="G11" s="363"/>
      <c r="H11" s="363"/>
      <c r="I11" s="377" t="s">
        <v>153</v>
      </c>
      <c r="J11" s="363"/>
      <c r="K11" s="363"/>
      <c r="L11" s="363"/>
      <c r="M11" s="363"/>
    </row>
    <row r="12" spans="2:13" s="378" customFormat="1" ht="4.1500000000000004" customHeight="1">
      <c r="B12" s="363"/>
      <c r="C12" s="363"/>
      <c r="D12" s="363"/>
      <c r="E12" s="363"/>
      <c r="F12" s="363"/>
      <c r="G12" s="363"/>
      <c r="H12" s="363"/>
      <c r="I12" s="363"/>
      <c r="J12" s="363"/>
      <c r="K12" s="363"/>
      <c r="L12" s="363"/>
      <c r="M12" s="363"/>
    </row>
    <row r="13" spans="2:13" s="378" customFormat="1" ht="14.25" thickBot="1">
      <c r="B13" s="379" t="s">
        <v>154</v>
      </c>
      <c r="C13" s="380"/>
      <c r="D13" s="378">
        <v>4</v>
      </c>
      <c r="E13" s="378" t="s">
        <v>155</v>
      </c>
      <c r="F13" s="381"/>
      <c r="G13" s="382"/>
      <c r="H13" s="383"/>
      <c r="J13" s="384"/>
      <c r="K13" s="384"/>
      <c r="L13" s="384"/>
      <c r="M13" s="384"/>
    </row>
    <row r="14" spans="2:13" s="378" customFormat="1" ht="13.9" customHeight="1" thickTop="1">
      <c r="B14" s="513" t="s">
        <v>156</v>
      </c>
      <c r="C14" s="515" t="s">
        <v>157</v>
      </c>
      <c r="D14" s="385" t="s">
        <v>158</v>
      </c>
      <c r="E14" s="386">
        <v>25</v>
      </c>
      <c r="F14" s="517" t="s">
        <v>159</v>
      </c>
      <c r="G14" s="518"/>
      <c r="H14" s="518"/>
      <c r="I14" s="518"/>
      <c r="J14" s="387">
        <v>50350</v>
      </c>
      <c r="K14" s="384"/>
      <c r="L14" s="384"/>
      <c r="M14" s="384"/>
    </row>
    <row r="15" spans="2:13" s="378" customFormat="1" ht="13.9" customHeight="1" thickBot="1">
      <c r="B15" s="514"/>
      <c r="C15" s="516"/>
      <c r="D15" s="389" t="s">
        <v>160</v>
      </c>
      <c r="E15" s="390">
        <f>+I17+I18+I19</f>
        <v>16</v>
      </c>
      <c r="F15" s="391" t="s">
        <v>161</v>
      </c>
      <c r="G15" s="392">
        <v>7</v>
      </c>
      <c r="H15" s="393" t="s">
        <v>162</v>
      </c>
      <c r="I15" s="394">
        <v>4</v>
      </c>
      <c r="J15" s="395">
        <v>6290</v>
      </c>
      <c r="K15" s="384"/>
      <c r="L15" s="384"/>
      <c r="M15" s="384"/>
    </row>
    <row r="16" spans="2:13" s="378" customFormat="1" ht="13.9" customHeight="1" thickTop="1">
      <c r="B16" s="385" t="s">
        <v>163</v>
      </c>
      <c r="C16" s="512" t="s">
        <v>164</v>
      </c>
      <c r="D16" s="512"/>
      <c r="E16" s="396" t="s">
        <v>165</v>
      </c>
      <c r="F16" s="397" t="s">
        <v>166</v>
      </c>
      <c r="G16" s="398" t="s">
        <v>167</v>
      </c>
      <c r="H16" s="398" t="s">
        <v>168</v>
      </c>
      <c r="I16" s="399" t="s">
        <v>169</v>
      </c>
      <c r="J16" s="400" t="s">
        <v>170</v>
      </c>
      <c r="K16" s="401" t="s">
        <v>171</v>
      </c>
      <c r="L16" s="401" t="s">
        <v>172</v>
      </c>
      <c r="M16" s="402" t="s">
        <v>173</v>
      </c>
    </row>
    <row r="17" spans="2:13" s="378" customFormat="1" ht="13.9" customHeight="1">
      <c r="B17" s="544" t="s">
        <v>174</v>
      </c>
      <c r="C17" s="526" t="s">
        <v>175</v>
      </c>
      <c r="D17" s="526"/>
      <c r="E17" s="403">
        <v>500</v>
      </c>
      <c r="F17" s="404">
        <v>12</v>
      </c>
      <c r="G17" s="405">
        <v>7</v>
      </c>
      <c r="H17" s="406">
        <v>2.9</v>
      </c>
      <c r="I17" s="407">
        <v>11</v>
      </c>
      <c r="J17" s="408">
        <f t="shared" ref="J17:J30" si="0">+E17*F17*I17</f>
        <v>66000</v>
      </c>
      <c r="K17" s="408">
        <f t="shared" ref="K17:K30" si="1">+E17*G17*I17</f>
        <v>38500</v>
      </c>
      <c r="L17" s="408">
        <f t="shared" ref="L17:L30" si="2">+E17*H17*I17</f>
        <v>15950</v>
      </c>
      <c r="M17" s="554">
        <f>50350*0.5*G$15+6290*0.5*I15</f>
        <v>188805</v>
      </c>
    </row>
    <row r="18" spans="2:13" s="378" customFormat="1" ht="13.9" customHeight="1">
      <c r="B18" s="545"/>
      <c r="C18" s="526" t="s">
        <v>63</v>
      </c>
      <c r="D18" s="526"/>
      <c r="E18" s="403">
        <v>580</v>
      </c>
      <c r="F18" s="397">
        <f>+$F$17</f>
        <v>12</v>
      </c>
      <c r="G18" s="398">
        <f>+$G$17</f>
        <v>7</v>
      </c>
      <c r="H18" s="406">
        <v>2.9</v>
      </c>
      <c r="I18" s="407">
        <v>5</v>
      </c>
      <c r="J18" s="408">
        <f t="shared" si="0"/>
        <v>34800</v>
      </c>
      <c r="K18" s="408">
        <f t="shared" si="1"/>
        <v>20300</v>
      </c>
      <c r="L18" s="408">
        <f t="shared" si="2"/>
        <v>8410</v>
      </c>
      <c r="M18" s="555"/>
    </row>
    <row r="19" spans="2:13" s="378" customFormat="1" ht="13.9" customHeight="1">
      <c r="B19" s="546"/>
      <c r="C19" s="526" t="s">
        <v>176</v>
      </c>
      <c r="D19" s="526"/>
      <c r="E19" s="403">
        <v>580</v>
      </c>
      <c r="F19" s="397">
        <f t="shared" ref="F19:F37" si="3">+$F$17</f>
        <v>12</v>
      </c>
      <c r="G19" s="398">
        <f t="shared" ref="G19:G37" si="4">+$G$17</f>
        <v>7</v>
      </c>
      <c r="H19" s="406">
        <v>2.9</v>
      </c>
      <c r="I19" s="407">
        <v>0</v>
      </c>
      <c r="J19" s="408">
        <f t="shared" si="0"/>
        <v>0</v>
      </c>
      <c r="K19" s="408">
        <f t="shared" si="1"/>
        <v>0</v>
      </c>
      <c r="L19" s="408">
        <f t="shared" si="2"/>
        <v>0</v>
      </c>
      <c r="M19" s="555"/>
    </row>
    <row r="20" spans="2:13" s="378" customFormat="1" ht="13.9" customHeight="1">
      <c r="B20" s="547" t="s">
        <v>177</v>
      </c>
      <c r="C20" s="542" t="s">
        <v>178</v>
      </c>
      <c r="D20" s="543"/>
      <c r="E20" s="403">
        <v>30</v>
      </c>
      <c r="F20" s="397">
        <f t="shared" si="3"/>
        <v>12</v>
      </c>
      <c r="G20" s="398">
        <f t="shared" si="4"/>
        <v>7</v>
      </c>
      <c r="H20" s="406" t="s">
        <v>179</v>
      </c>
      <c r="I20" s="399">
        <f>+$I$17+$I$18+$I$19</f>
        <v>16</v>
      </c>
      <c r="J20" s="408">
        <f t="shared" si="0"/>
        <v>5760</v>
      </c>
      <c r="K20" s="408">
        <f t="shared" si="1"/>
        <v>3360</v>
      </c>
      <c r="L20" s="408"/>
      <c r="M20" s="555"/>
    </row>
    <row r="21" spans="2:13" s="378" customFormat="1" ht="13.9" customHeight="1">
      <c r="B21" s="545"/>
      <c r="C21" s="542" t="s">
        <v>88</v>
      </c>
      <c r="D21" s="543"/>
      <c r="E21" s="403">
        <v>190</v>
      </c>
      <c r="F21" s="397">
        <f t="shared" si="3"/>
        <v>12</v>
      </c>
      <c r="G21" s="398">
        <f t="shared" si="4"/>
        <v>7</v>
      </c>
      <c r="H21" s="406">
        <v>2.7</v>
      </c>
      <c r="I21" s="399">
        <f>+$I$17+$I$18+$I$19</f>
        <v>16</v>
      </c>
      <c r="J21" s="408">
        <f t="shared" si="0"/>
        <v>36480</v>
      </c>
      <c r="K21" s="408">
        <f t="shared" si="1"/>
        <v>21280</v>
      </c>
      <c r="L21" s="408">
        <f t="shared" si="2"/>
        <v>8208</v>
      </c>
      <c r="M21" s="555"/>
    </row>
    <row r="22" spans="2:13" s="378" customFormat="1" ht="13.9" customHeight="1">
      <c r="B22" s="545"/>
      <c r="C22" s="542" t="s">
        <v>180</v>
      </c>
      <c r="D22" s="543"/>
      <c r="E22" s="403">
        <v>30</v>
      </c>
      <c r="F22" s="397">
        <f t="shared" si="3"/>
        <v>12</v>
      </c>
      <c r="G22" s="398">
        <f t="shared" si="4"/>
        <v>7</v>
      </c>
      <c r="H22" s="406">
        <v>3.9</v>
      </c>
      <c r="I22" s="399">
        <f>+I17</f>
        <v>11</v>
      </c>
      <c r="J22" s="408">
        <f t="shared" si="0"/>
        <v>3960</v>
      </c>
      <c r="K22" s="408">
        <f t="shared" si="1"/>
        <v>2310</v>
      </c>
      <c r="L22" s="408">
        <f t="shared" si="2"/>
        <v>1287</v>
      </c>
      <c r="M22" s="555"/>
    </row>
    <row r="23" spans="2:13" s="378" customFormat="1" ht="13.9" customHeight="1">
      <c r="B23" s="545"/>
      <c r="C23" s="542" t="s">
        <v>181</v>
      </c>
      <c r="D23" s="543"/>
      <c r="E23" s="403">
        <v>70</v>
      </c>
      <c r="F23" s="397">
        <f t="shared" si="3"/>
        <v>12</v>
      </c>
      <c r="G23" s="398">
        <f t="shared" si="4"/>
        <v>7</v>
      </c>
      <c r="H23" s="406">
        <v>3.3</v>
      </c>
      <c r="I23" s="399">
        <f>+I18</f>
        <v>5</v>
      </c>
      <c r="J23" s="408">
        <f t="shared" si="0"/>
        <v>4200</v>
      </c>
      <c r="K23" s="408">
        <f t="shared" si="1"/>
        <v>2450</v>
      </c>
      <c r="L23" s="408">
        <f t="shared" si="2"/>
        <v>1155</v>
      </c>
      <c r="M23" s="555"/>
    </row>
    <row r="24" spans="2:13" s="378" customFormat="1" ht="13.9" customHeight="1">
      <c r="B24" s="545"/>
      <c r="C24" s="542" t="s">
        <v>182</v>
      </c>
      <c r="D24" s="543"/>
      <c r="E24" s="403">
        <v>0</v>
      </c>
      <c r="F24" s="397">
        <f t="shared" si="3"/>
        <v>12</v>
      </c>
      <c r="G24" s="398">
        <f t="shared" si="4"/>
        <v>7</v>
      </c>
      <c r="H24" s="406">
        <v>2.7</v>
      </c>
      <c r="I24" s="399">
        <f>+I19</f>
        <v>0</v>
      </c>
      <c r="J24" s="408">
        <f t="shared" si="0"/>
        <v>0</v>
      </c>
      <c r="K24" s="408">
        <f t="shared" si="1"/>
        <v>0</v>
      </c>
      <c r="L24" s="408">
        <f t="shared" si="2"/>
        <v>0</v>
      </c>
      <c r="M24" s="555"/>
    </row>
    <row r="25" spans="2:13" s="378" customFormat="1" ht="13.9" customHeight="1">
      <c r="B25" s="545"/>
      <c r="C25" s="542" t="s">
        <v>183</v>
      </c>
      <c r="D25" s="543"/>
      <c r="E25" s="403">
        <v>470</v>
      </c>
      <c r="F25" s="397">
        <f t="shared" si="3"/>
        <v>12</v>
      </c>
      <c r="G25" s="398">
        <f t="shared" si="4"/>
        <v>7</v>
      </c>
      <c r="H25" s="406">
        <v>2.7</v>
      </c>
      <c r="I25" s="399">
        <v>0</v>
      </c>
      <c r="J25" s="408">
        <f t="shared" si="0"/>
        <v>0</v>
      </c>
      <c r="K25" s="408">
        <f t="shared" si="1"/>
        <v>0</v>
      </c>
      <c r="L25" s="408">
        <f t="shared" si="2"/>
        <v>0</v>
      </c>
      <c r="M25" s="555"/>
    </row>
    <row r="26" spans="2:13" s="378" customFormat="1" ht="13.9" customHeight="1">
      <c r="B26" s="545"/>
      <c r="C26" s="542" t="s">
        <v>21</v>
      </c>
      <c r="D26" s="543"/>
      <c r="E26" s="403">
        <v>0</v>
      </c>
      <c r="F26" s="397">
        <f t="shared" si="3"/>
        <v>12</v>
      </c>
      <c r="G26" s="398">
        <f t="shared" si="4"/>
        <v>7</v>
      </c>
      <c r="H26" s="406">
        <v>10.9</v>
      </c>
      <c r="I26" s="399">
        <f>+$I$17+$I$18+$I$19</f>
        <v>16</v>
      </c>
      <c r="J26" s="408">
        <f t="shared" si="0"/>
        <v>0</v>
      </c>
      <c r="K26" s="408">
        <f t="shared" si="1"/>
        <v>0</v>
      </c>
      <c r="L26" s="408">
        <f t="shared" si="2"/>
        <v>0</v>
      </c>
      <c r="M26" s="555"/>
    </row>
    <row r="27" spans="2:13" s="378" customFormat="1" ht="13.9" customHeight="1">
      <c r="B27" s="545"/>
      <c r="C27" s="542" t="s">
        <v>23</v>
      </c>
      <c r="D27" s="543"/>
      <c r="E27" s="403">
        <v>230</v>
      </c>
      <c r="F27" s="397">
        <f t="shared" si="3"/>
        <v>12</v>
      </c>
      <c r="G27" s="398">
        <f t="shared" si="4"/>
        <v>7</v>
      </c>
      <c r="H27" s="406">
        <v>2.8</v>
      </c>
      <c r="I27" s="399">
        <f>+$I$17+$I$18+$I$19</f>
        <v>16</v>
      </c>
      <c r="J27" s="408">
        <f t="shared" si="0"/>
        <v>44160</v>
      </c>
      <c r="K27" s="408">
        <f t="shared" si="1"/>
        <v>25760</v>
      </c>
      <c r="L27" s="408">
        <f t="shared" si="2"/>
        <v>10304</v>
      </c>
      <c r="M27" s="555"/>
    </row>
    <row r="28" spans="2:13" s="378" customFormat="1" ht="13.9" customHeight="1">
      <c r="B28" s="545"/>
      <c r="C28" s="542" t="s">
        <v>25</v>
      </c>
      <c r="D28" s="543"/>
      <c r="E28" s="403">
        <v>20</v>
      </c>
      <c r="F28" s="397">
        <f t="shared" si="3"/>
        <v>12</v>
      </c>
      <c r="G28" s="398">
        <f t="shared" si="4"/>
        <v>7</v>
      </c>
      <c r="H28" s="406">
        <v>16.3</v>
      </c>
      <c r="I28" s="399">
        <f>+$I$17+$I$18+$I$19</f>
        <v>16</v>
      </c>
      <c r="J28" s="408">
        <f t="shared" si="0"/>
        <v>3840</v>
      </c>
      <c r="K28" s="408">
        <f t="shared" si="1"/>
        <v>2240</v>
      </c>
      <c r="L28" s="408">
        <f t="shared" si="2"/>
        <v>5216</v>
      </c>
      <c r="M28" s="555"/>
    </row>
    <row r="29" spans="2:13" s="378" customFormat="1" ht="13.9" customHeight="1">
      <c r="B29" s="545"/>
      <c r="C29" s="542" t="s">
        <v>184</v>
      </c>
      <c r="D29" s="543"/>
      <c r="E29" s="403">
        <v>10</v>
      </c>
      <c r="F29" s="397">
        <f t="shared" si="3"/>
        <v>12</v>
      </c>
      <c r="G29" s="398">
        <f t="shared" si="4"/>
        <v>7</v>
      </c>
      <c r="H29" s="406">
        <v>83.7</v>
      </c>
      <c r="I29" s="399">
        <f>+$I$17+$I$18+$I$19</f>
        <v>16</v>
      </c>
      <c r="J29" s="408">
        <f t="shared" si="0"/>
        <v>1920</v>
      </c>
      <c r="K29" s="408">
        <f t="shared" si="1"/>
        <v>1120</v>
      </c>
      <c r="L29" s="408">
        <f t="shared" si="2"/>
        <v>13392</v>
      </c>
      <c r="M29" s="555"/>
    </row>
    <row r="30" spans="2:13" s="378" customFormat="1" ht="13.9" customHeight="1">
      <c r="B30" s="546"/>
      <c r="C30" s="542" t="s">
        <v>185</v>
      </c>
      <c r="D30" s="543"/>
      <c r="E30" s="403">
        <v>0</v>
      </c>
      <c r="F30" s="397">
        <f t="shared" si="3"/>
        <v>12</v>
      </c>
      <c r="G30" s="398">
        <f t="shared" si="4"/>
        <v>7</v>
      </c>
      <c r="H30" s="406">
        <v>46.5</v>
      </c>
      <c r="I30" s="399">
        <f>+$I$17+$I$18+$I$19</f>
        <v>16</v>
      </c>
      <c r="J30" s="408">
        <f t="shared" si="0"/>
        <v>0</v>
      </c>
      <c r="K30" s="408">
        <f t="shared" si="1"/>
        <v>0</v>
      </c>
      <c r="L30" s="408">
        <f t="shared" si="2"/>
        <v>0</v>
      </c>
      <c r="M30" s="555"/>
    </row>
    <row r="31" spans="2:13" s="378" customFormat="1" ht="13.9" customHeight="1">
      <c r="B31" s="547" t="s">
        <v>186</v>
      </c>
      <c r="C31" s="529" t="s">
        <v>187</v>
      </c>
      <c r="D31" s="409" t="s">
        <v>188</v>
      </c>
      <c r="E31" s="403">
        <v>0</v>
      </c>
      <c r="F31" s="397">
        <f t="shared" si="3"/>
        <v>12</v>
      </c>
      <c r="G31" s="398">
        <f t="shared" si="4"/>
        <v>7</v>
      </c>
      <c r="H31" s="406">
        <v>12.2</v>
      </c>
      <c r="I31" s="399"/>
      <c r="J31" s="410">
        <f>+E31*F31</f>
        <v>0</v>
      </c>
      <c r="K31" s="410">
        <f>+E31*G31</f>
        <v>0</v>
      </c>
      <c r="L31" s="410">
        <f>+E31*H31</f>
        <v>0</v>
      </c>
      <c r="M31" s="555"/>
    </row>
    <row r="32" spans="2:13" s="378" customFormat="1" ht="13.9" customHeight="1">
      <c r="B32" s="545"/>
      <c r="C32" s="530"/>
      <c r="D32" s="409" t="s">
        <v>189</v>
      </c>
      <c r="E32" s="403">
        <v>120</v>
      </c>
      <c r="F32" s="397">
        <f t="shared" si="3"/>
        <v>12</v>
      </c>
      <c r="G32" s="398">
        <f t="shared" si="4"/>
        <v>7</v>
      </c>
      <c r="H32" s="406">
        <v>14.5</v>
      </c>
      <c r="I32" s="399"/>
      <c r="J32" s="410">
        <f t="shared" ref="J32:J37" si="5">+E32*F32</f>
        <v>1440</v>
      </c>
      <c r="K32" s="410">
        <f t="shared" ref="K32:K37" si="6">+E32*G32</f>
        <v>840</v>
      </c>
      <c r="L32" s="410">
        <f t="shared" ref="L32:L37" si="7">+E32*H32</f>
        <v>1740</v>
      </c>
      <c r="M32" s="555"/>
    </row>
    <row r="33" spans="2:13" s="378" customFormat="1" ht="13.9" customHeight="1">
      <c r="B33" s="545"/>
      <c r="C33" s="542" t="s">
        <v>31</v>
      </c>
      <c r="D33" s="543"/>
      <c r="E33" s="403">
        <v>810</v>
      </c>
      <c r="F33" s="397">
        <f t="shared" si="3"/>
        <v>12</v>
      </c>
      <c r="G33" s="398">
        <f t="shared" si="4"/>
        <v>7</v>
      </c>
      <c r="H33" s="406">
        <v>10.1</v>
      </c>
      <c r="I33" s="399"/>
      <c r="J33" s="410">
        <f t="shared" si="5"/>
        <v>9720</v>
      </c>
      <c r="K33" s="410">
        <f t="shared" si="6"/>
        <v>5670</v>
      </c>
      <c r="L33" s="410">
        <f t="shared" si="7"/>
        <v>8181</v>
      </c>
      <c r="M33" s="555"/>
    </row>
    <row r="34" spans="2:13" s="378" customFormat="1" ht="13.9" customHeight="1">
      <c r="B34" s="545"/>
      <c r="C34" s="542" t="s">
        <v>33</v>
      </c>
      <c r="D34" s="543"/>
      <c r="E34" s="403">
        <v>0</v>
      </c>
      <c r="F34" s="397">
        <f t="shared" si="3"/>
        <v>12</v>
      </c>
      <c r="G34" s="398">
        <f t="shared" si="4"/>
        <v>7</v>
      </c>
      <c r="H34" s="406">
        <v>8.1</v>
      </c>
      <c r="I34" s="399"/>
      <c r="J34" s="410">
        <f t="shared" si="5"/>
        <v>0</v>
      </c>
      <c r="K34" s="410">
        <f t="shared" si="6"/>
        <v>0</v>
      </c>
      <c r="L34" s="410">
        <f t="shared" si="7"/>
        <v>0</v>
      </c>
      <c r="M34" s="555"/>
    </row>
    <row r="35" spans="2:13" s="378" customFormat="1" ht="13.9" customHeight="1">
      <c r="B35" s="546"/>
      <c r="C35" s="542" t="s">
        <v>35</v>
      </c>
      <c r="D35" s="543"/>
      <c r="E35" s="403">
        <v>0</v>
      </c>
      <c r="F35" s="397">
        <f t="shared" si="3"/>
        <v>12</v>
      </c>
      <c r="G35" s="398">
        <f t="shared" si="4"/>
        <v>7</v>
      </c>
      <c r="H35" s="406">
        <v>9.6999999999999993</v>
      </c>
      <c r="I35" s="399"/>
      <c r="J35" s="410">
        <f t="shared" si="5"/>
        <v>0</v>
      </c>
      <c r="K35" s="410">
        <f t="shared" si="6"/>
        <v>0</v>
      </c>
      <c r="L35" s="410">
        <f t="shared" si="7"/>
        <v>0</v>
      </c>
      <c r="M35" s="555"/>
    </row>
    <row r="36" spans="2:13" s="378" customFormat="1" ht="13.9" customHeight="1">
      <c r="B36" s="385"/>
      <c r="C36" s="542" t="s">
        <v>190</v>
      </c>
      <c r="D36" s="543"/>
      <c r="E36" s="403"/>
      <c r="F36" s="397">
        <f t="shared" si="3"/>
        <v>12</v>
      </c>
      <c r="G36" s="398">
        <f t="shared" si="4"/>
        <v>7</v>
      </c>
      <c r="H36" s="406"/>
      <c r="I36" s="399"/>
      <c r="J36" s="410">
        <f t="shared" si="5"/>
        <v>0</v>
      </c>
      <c r="K36" s="410">
        <f t="shared" si="6"/>
        <v>0</v>
      </c>
      <c r="L36" s="410">
        <f t="shared" si="7"/>
        <v>0</v>
      </c>
      <c r="M36" s="555"/>
    </row>
    <row r="37" spans="2:13" s="378" customFormat="1" ht="13.9" customHeight="1">
      <c r="B37" s="385"/>
      <c r="C37" s="542" t="s">
        <v>190</v>
      </c>
      <c r="D37" s="543"/>
      <c r="E37" s="403"/>
      <c r="F37" s="397">
        <f t="shared" si="3"/>
        <v>12</v>
      </c>
      <c r="G37" s="398">
        <f t="shared" si="4"/>
        <v>7</v>
      </c>
      <c r="H37" s="406"/>
      <c r="I37" s="399"/>
      <c r="J37" s="410">
        <f t="shared" si="5"/>
        <v>0</v>
      </c>
      <c r="K37" s="410">
        <f t="shared" si="6"/>
        <v>0</v>
      </c>
      <c r="L37" s="410">
        <f t="shared" si="7"/>
        <v>0</v>
      </c>
      <c r="M37" s="556"/>
    </row>
    <row r="38" spans="2:13" s="378" customFormat="1" ht="13.9" customHeight="1">
      <c r="B38" s="536" t="s">
        <v>191</v>
      </c>
      <c r="C38" s="537"/>
      <c r="D38" s="537"/>
      <c r="E38" s="537"/>
      <c r="F38" s="537"/>
      <c r="G38" s="537"/>
      <c r="H38" s="537"/>
      <c r="I38" s="538"/>
      <c r="J38" s="411">
        <f>SUM(J17:J37)</f>
        <v>212280</v>
      </c>
      <c r="K38" s="411">
        <f>SUM(K17:K37)</f>
        <v>123830</v>
      </c>
      <c r="L38" s="411">
        <f>SUM(L17:L37)</f>
        <v>73843</v>
      </c>
      <c r="M38" s="412">
        <f>+M17</f>
        <v>188805</v>
      </c>
    </row>
    <row r="39" spans="2:13" s="378" customFormat="1" ht="13.9" customHeight="1">
      <c r="B39" s="548"/>
      <c r="C39" s="549"/>
      <c r="D39" s="549"/>
      <c r="E39" s="549"/>
      <c r="F39" s="549"/>
      <c r="G39" s="549"/>
      <c r="H39" s="549"/>
      <c r="I39" s="549"/>
      <c r="J39" s="549"/>
      <c r="K39" s="549"/>
      <c r="L39" s="549"/>
      <c r="M39" s="550"/>
    </row>
    <row r="40" spans="2:13" s="378" customFormat="1" ht="13.9" customHeight="1">
      <c r="B40" s="551" t="s">
        <v>156</v>
      </c>
      <c r="C40" s="552" t="s">
        <v>157</v>
      </c>
      <c r="D40" s="388" t="s">
        <v>158</v>
      </c>
      <c r="E40" s="413">
        <v>70</v>
      </c>
      <c r="F40" s="553" t="s">
        <v>159</v>
      </c>
      <c r="G40" s="530"/>
      <c r="H40" s="530"/>
      <c r="I40" s="530"/>
      <c r="J40" s="414">
        <v>50350</v>
      </c>
      <c r="K40" s="384"/>
      <c r="L40" s="384"/>
      <c r="M40" s="384"/>
    </row>
    <row r="41" spans="2:13" s="378" customFormat="1" ht="13.9" customHeight="1" thickBot="1">
      <c r="B41" s="514"/>
      <c r="C41" s="516"/>
      <c r="D41" s="389" t="s">
        <v>160</v>
      </c>
      <c r="E41" s="390">
        <f>+I43+I44+I45+I46+I47+I48+I49+I50+I51+I52</f>
        <v>83</v>
      </c>
      <c r="F41" s="391" t="s">
        <v>161</v>
      </c>
      <c r="G41" s="392">
        <v>7</v>
      </c>
      <c r="H41" s="393" t="s">
        <v>162</v>
      </c>
      <c r="I41" s="394">
        <v>4</v>
      </c>
      <c r="J41" s="395">
        <v>6290</v>
      </c>
      <c r="K41" s="384"/>
      <c r="L41" s="384"/>
      <c r="M41" s="384"/>
    </row>
    <row r="42" spans="2:13" s="378" customFormat="1" ht="13.9" customHeight="1" thickTop="1">
      <c r="B42" s="385" t="s">
        <v>163</v>
      </c>
      <c r="C42" s="512" t="s">
        <v>164</v>
      </c>
      <c r="D42" s="512"/>
      <c r="E42" s="396" t="s">
        <v>165</v>
      </c>
      <c r="F42" s="397" t="s">
        <v>166</v>
      </c>
      <c r="G42" s="398" t="s">
        <v>167</v>
      </c>
      <c r="H42" s="398" t="s">
        <v>168</v>
      </c>
      <c r="I42" s="399" t="s">
        <v>169</v>
      </c>
      <c r="J42" s="400" t="s">
        <v>170</v>
      </c>
      <c r="K42" s="401" t="s">
        <v>171</v>
      </c>
      <c r="L42" s="401" t="s">
        <v>172</v>
      </c>
      <c r="M42" s="402" t="s">
        <v>173</v>
      </c>
    </row>
    <row r="43" spans="2:13" s="378" customFormat="1" ht="13.9" customHeight="1">
      <c r="B43" s="557" t="s">
        <v>192</v>
      </c>
      <c r="C43" s="526" t="s">
        <v>175</v>
      </c>
      <c r="D43" s="526"/>
      <c r="E43" s="415">
        <v>530</v>
      </c>
      <c r="F43" s="416">
        <v>12</v>
      </c>
      <c r="G43" s="417">
        <v>7</v>
      </c>
      <c r="H43" s="418">
        <v>3.4</v>
      </c>
      <c r="I43" s="419">
        <v>29</v>
      </c>
      <c r="J43" s="408">
        <f>+E43*F43*I43</f>
        <v>184440</v>
      </c>
      <c r="K43" s="408">
        <f>+E43*G43*I43</f>
        <v>107590</v>
      </c>
      <c r="L43" s="408">
        <f>+E43*H43*I43</f>
        <v>52258</v>
      </c>
      <c r="M43" s="420">
        <f>50350*0.5*G41+J716258*0.5*I41</f>
        <v>176225</v>
      </c>
    </row>
    <row r="44" spans="2:13" s="378" customFormat="1" ht="13.9" customHeight="1">
      <c r="B44" s="558"/>
      <c r="C44" s="526" t="s">
        <v>63</v>
      </c>
      <c r="D44" s="526"/>
      <c r="E44" s="415">
        <v>600</v>
      </c>
      <c r="F44" s="421">
        <f t="shared" ref="F44:F66" si="8">+$F$43</f>
        <v>12</v>
      </c>
      <c r="G44" s="422">
        <f t="shared" ref="G44:G66" si="9">+$G$43</f>
        <v>7</v>
      </c>
      <c r="H44" s="418">
        <v>3.4</v>
      </c>
      <c r="I44" s="419">
        <v>13</v>
      </c>
      <c r="J44" s="408">
        <f t="shared" ref="J44:J55" si="10">+E44*F44*I44</f>
        <v>93600</v>
      </c>
      <c r="K44" s="408">
        <f t="shared" ref="K44:K55" si="11">+E44*G44*I44</f>
        <v>54600</v>
      </c>
      <c r="L44" s="408">
        <f t="shared" ref="L44:L55" si="12">+E44*H44*I44</f>
        <v>26520</v>
      </c>
      <c r="M44" s="423"/>
    </row>
    <row r="45" spans="2:13" s="378" customFormat="1" ht="13.9" customHeight="1">
      <c r="B45" s="558"/>
      <c r="C45" s="526" t="s">
        <v>193</v>
      </c>
      <c r="D45" s="526"/>
      <c r="E45" s="415">
        <v>1140</v>
      </c>
      <c r="F45" s="421">
        <f t="shared" si="8"/>
        <v>12</v>
      </c>
      <c r="G45" s="422">
        <f t="shared" si="9"/>
        <v>7</v>
      </c>
      <c r="H45" s="418">
        <v>3.3</v>
      </c>
      <c r="I45" s="419">
        <v>10</v>
      </c>
      <c r="J45" s="408">
        <f t="shared" si="10"/>
        <v>136800</v>
      </c>
      <c r="K45" s="408">
        <f t="shared" si="11"/>
        <v>79800</v>
      </c>
      <c r="L45" s="408">
        <f t="shared" si="12"/>
        <v>37620</v>
      </c>
      <c r="M45" s="423"/>
    </row>
    <row r="46" spans="2:13" s="378" customFormat="1" ht="13.9" customHeight="1">
      <c r="B46" s="558"/>
      <c r="C46" s="526" t="s">
        <v>194</v>
      </c>
      <c r="D46" s="526"/>
      <c r="E46" s="415">
        <v>1140</v>
      </c>
      <c r="F46" s="421">
        <f t="shared" si="8"/>
        <v>12</v>
      </c>
      <c r="G46" s="422">
        <f t="shared" si="9"/>
        <v>7</v>
      </c>
      <c r="H46" s="418">
        <v>3.3</v>
      </c>
      <c r="I46" s="419">
        <v>10</v>
      </c>
      <c r="J46" s="408">
        <f t="shared" si="10"/>
        <v>136800</v>
      </c>
      <c r="K46" s="408">
        <f t="shared" si="11"/>
        <v>79800</v>
      </c>
      <c r="L46" s="408">
        <f t="shared" si="12"/>
        <v>37620</v>
      </c>
      <c r="M46" s="423"/>
    </row>
    <row r="47" spans="2:13" s="378" customFormat="1" ht="13.9" customHeight="1">
      <c r="B47" s="558"/>
      <c r="C47" s="526" t="s">
        <v>195</v>
      </c>
      <c r="D47" s="526"/>
      <c r="E47" s="415">
        <v>1910</v>
      </c>
      <c r="F47" s="421">
        <f t="shared" si="8"/>
        <v>12</v>
      </c>
      <c r="G47" s="422">
        <f t="shared" si="9"/>
        <v>7</v>
      </c>
      <c r="H47" s="418">
        <v>3.2</v>
      </c>
      <c r="I47" s="419">
        <v>8</v>
      </c>
      <c r="J47" s="408">
        <f t="shared" si="10"/>
        <v>183360</v>
      </c>
      <c r="K47" s="408">
        <f t="shared" si="11"/>
        <v>106960</v>
      </c>
      <c r="L47" s="408">
        <f t="shared" si="12"/>
        <v>48896</v>
      </c>
      <c r="M47" s="423"/>
    </row>
    <row r="48" spans="2:13" s="378" customFormat="1" ht="13.9" customHeight="1">
      <c r="B48" s="559" t="s">
        <v>196</v>
      </c>
      <c r="C48" s="526" t="s">
        <v>175</v>
      </c>
      <c r="D48" s="526"/>
      <c r="E48" s="415">
        <v>460</v>
      </c>
      <c r="F48" s="421">
        <f t="shared" si="8"/>
        <v>12</v>
      </c>
      <c r="G48" s="422">
        <f t="shared" si="9"/>
        <v>7</v>
      </c>
      <c r="H48" s="418">
        <v>3.3</v>
      </c>
      <c r="I48" s="419">
        <v>1</v>
      </c>
      <c r="J48" s="408">
        <f t="shared" si="10"/>
        <v>5520</v>
      </c>
      <c r="K48" s="408">
        <f t="shared" si="11"/>
        <v>3220</v>
      </c>
      <c r="L48" s="408">
        <f t="shared" si="12"/>
        <v>1518</v>
      </c>
      <c r="M48" s="423"/>
    </row>
    <row r="49" spans="1:14" s="378" customFormat="1" ht="13.9" customHeight="1">
      <c r="B49" s="525"/>
      <c r="C49" s="526" t="s">
        <v>63</v>
      </c>
      <c r="D49" s="526"/>
      <c r="E49" s="415">
        <v>530</v>
      </c>
      <c r="F49" s="421">
        <f t="shared" si="8"/>
        <v>12</v>
      </c>
      <c r="G49" s="422">
        <f t="shared" si="9"/>
        <v>7</v>
      </c>
      <c r="H49" s="418">
        <v>3.3</v>
      </c>
      <c r="I49" s="419">
        <v>6</v>
      </c>
      <c r="J49" s="408">
        <f t="shared" si="10"/>
        <v>38160</v>
      </c>
      <c r="K49" s="408">
        <f t="shared" si="11"/>
        <v>22260</v>
      </c>
      <c r="L49" s="408">
        <f t="shared" si="12"/>
        <v>10494</v>
      </c>
      <c r="M49" s="423"/>
    </row>
    <row r="50" spans="1:14" s="378" customFormat="1" ht="13.9" customHeight="1">
      <c r="B50" s="525"/>
      <c r="C50" s="526" t="s">
        <v>193</v>
      </c>
      <c r="D50" s="526"/>
      <c r="E50" s="415">
        <v>1060</v>
      </c>
      <c r="F50" s="421">
        <f t="shared" si="8"/>
        <v>12</v>
      </c>
      <c r="G50" s="422">
        <f t="shared" si="9"/>
        <v>7</v>
      </c>
      <c r="H50" s="418">
        <v>3.2</v>
      </c>
      <c r="I50" s="419">
        <v>5</v>
      </c>
      <c r="J50" s="408">
        <f t="shared" si="10"/>
        <v>63600</v>
      </c>
      <c r="K50" s="408">
        <f t="shared" si="11"/>
        <v>37100</v>
      </c>
      <c r="L50" s="408">
        <f t="shared" si="12"/>
        <v>16960</v>
      </c>
      <c r="M50" s="423"/>
    </row>
    <row r="51" spans="1:14" s="378" customFormat="1" ht="13.9" customHeight="1">
      <c r="B51" s="525"/>
      <c r="C51" s="526" t="s">
        <v>194</v>
      </c>
      <c r="D51" s="526"/>
      <c r="E51" s="415">
        <v>1060</v>
      </c>
      <c r="F51" s="421">
        <f t="shared" si="8"/>
        <v>12</v>
      </c>
      <c r="G51" s="422">
        <f t="shared" si="9"/>
        <v>7</v>
      </c>
      <c r="H51" s="418">
        <v>3.2</v>
      </c>
      <c r="I51" s="419">
        <v>1</v>
      </c>
      <c r="J51" s="408">
        <f t="shared" si="10"/>
        <v>12720</v>
      </c>
      <c r="K51" s="408">
        <f t="shared" si="11"/>
        <v>7420</v>
      </c>
      <c r="L51" s="408">
        <f t="shared" si="12"/>
        <v>3392</v>
      </c>
      <c r="M51" s="423"/>
    </row>
    <row r="52" spans="1:14" s="378" customFormat="1" ht="13.9" customHeight="1">
      <c r="B52" s="525"/>
      <c r="C52" s="526" t="s">
        <v>195</v>
      </c>
      <c r="D52" s="526"/>
      <c r="E52" s="415">
        <v>1830</v>
      </c>
      <c r="F52" s="421">
        <f t="shared" si="8"/>
        <v>12</v>
      </c>
      <c r="G52" s="422">
        <f t="shared" si="9"/>
        <v>7</v>
      </c>
      <c r="H52" s="418">
        <v>3.2</v>
      </c>
      <c r="I52" s="419">
        <v>0</v>
      </c>
      <c r="J52" s="408">
        <f t="shared" si="10"/>
        <v>0</v>
      </c>
      <c r="K52" s="408">
        <f t="shared" si="11"/>
        <v>0</v>
      </c>
      <c r="L52" s="408">
        <f t="shared" si="12"/>
        <v>0</v>
      </c>
      <c r="M52" s="423"/>
    </row>
    <row r="53" spans="1:14" s="378" customFormat="1" ht="13.9" customHeight="1">
      <c r="A53" s="424"/>
      <c r="B53" s="547" t="s">
        <v>197</v>
      </c>
      <c r="C53" s="542" t="s">
        <v>180</v>
      </c>
      <c r="D53" s="543"/>
      <c r="E53" s="415">
        <v>30</v>
      </c>
      <c r="F53" s="421">
        <f t="shared" si="8"/>
        <v>12</v>
      </c>
      <c r="G53" s="422">
        <f t="shared" si="9"/>
        <v>7</v>
      </c>
      <c r="H53" s="418">
        <v>3.8</v>
      </c>
      <c r="I53" s="425">
        <f>+I43+I48</f>
        <v>30</v>
      </c>
      <c r="J53" s="408">
        <f t="shared" si="10"/>
        <v>10800</v>
      </c>
      <c r="K53" s="408">
        <f t="shared" si="11"/>
        <v>6300</v>
      </c>
      <c r="L53" s="408">
        <f t="shared" si="12"/>
        <v>3420</v>
      </c>
      <c r="M53" s="423"/>
      <c r="N53" s="424"/>
    </row>
    <row r="54" spans="1:14" s="378" customFormat="1" ht="13.9" customHeight="1">
      <c r="A54" s="424"/>
      <c r="B54" s="545"/>
      <c r="C54" s="542" t="s">
        <v>198</v>
      </c>
      <c r="D54" s="543"/>
      <c r="E54" s="415">
        <v>70</v>
      </c>
      <c r="F54" s="421">
        <f t="shared" si="8"/>
        <v>12</v>
      </c>
      <c r="G54" s="422">
        <f t="shared" si="9"/>
        <v>7</v>
      </c>
      <c r="H54" s="418">
        <v>3.2</v>
      </c>
      <c r="I54" s="426">
        <f>+I44+I49</f>
        <v>19</v>
      </c>
      <c r="J54" s="408">
        <f t="shared" si="10"/>
        <v>15960</v>
      </c>
      <c r="K54" s="408">
        <f t="shared" si="11"/>
        <v>9310</v>
      </c>
      <c r="L54" s="408">
        <f t="shared" si="12"/>
        <v>4256</v>
      </c>
      <c r="M54" s="423"/>
      <c r="N54" s="424"/>
    </row>
    <row r="55" spans="1:14" s="378" customFormat="1" ht="13.9" customHeight="1">
      <c r="A55" s="424"/>
      <c r="B55" s="545"/>
      <c r="C55" s="542" t="s">
        <v>199</v>
      </c>
      <c r="D55" s="543"/>
      <c r="E55" s="415">
        <v>0</v>
      </c>
      <c r="F55" s="421">
        <f t="shared" si="8"/>
        <v>12</v>
      </c>
      <c r="G55" s="422">
        <f t="shared" si="9"/>
        <v>7</v>
      </c>
      <c r="H55" s="418">
        <v>3</v>
      </c>
      <c r="I55" s="426">
        <f>+I46+I51</f>
        <v>11</v>
      </c>
      <c r="J55" s="408">
        <f t="shared" si="10"/>
        <v>0</v>
      </c>
      <c r="K55" s="408">
        <f t="shared" si="11"/>
        <v>0</v>
      </c>
      <c r="L55" s="408">
        <f t="shared" si="12"/>
        <v>0</v>
      </c>
      <c r="M55" s="423"/>
      <c r="N55" s="424"/>
    </row>
    <row r="56" spans="1:14" s="378" customFormat="1" ht="13.9" customHeight="1">
      <c r="B56" s="545"/>
      <c r="C56" s="542" t="s">
        <v>200</v>
      </c>
      <c r="D56" s="543"/>
      <c r="E56" s="427">
        <v>0</v>
      </c>
      <c r="F56" s="421">
        <f t="shared" si="8"/>
        <v>12</v>
      </c>
      <c r="G56" s="422">
        <f t="shared" si="9"/>
        <v>7</v>
      </c>
      <c r="H56" s="418">
        <v>2.1</v>
      </c>
      <c r="I56" s="426"/>
      <c r="J56" s="410">
        <f>ROUNDDOWN(E56*F56,-1)</f>
        <v>0</v>
      </c>
      <c r="K56" s="410">
        <f>ROUNDDOWN(E56*G56,-1)</f>
        <v>0</v>
      </c>
      <c r="L56" s="410">
        <f>ROUNDDOWN(E56*H56,-1)</f>
        <v>0</v>
      </c>
      <c r="M56" s="423"/>
    </row>
    <row r="57" spans="1:14" s="378" customFormat="1" ht="13.9" customHeight="1">
      <c r="B57" s="562"/>
      <c r="C57" s="542" t="s">
        <v>201</v>
      </c>
      <c r="D57" s="543"/>
      <c r="E57" s="427">
        <v>0</v>
      </c>
      <c r="F57" s="421">
        <f t="shared" si="8"/>
        <v>12</v>
      </c>
      <c r="G57" s="422">
        <f t="shared" si="9"/>
        <v>7</v>
      </c>
      <c r="H57" s="418">
        <v>6.4</v>
      </c>
      <c r="I57" s="426"/>
      <c r="J57" s="410">
        <f t="shared" ref="J57:J66" si="13">ROUNDDOWN(E57*F57,-1)</f>
        <v>0</v>
      </c>
      <c r="K57" s="410">
        <f t="shared" ref="K57:K66" si="14">ROUNDDOWN(E57*G57,-1)</f>
        <v>0</v>
      </c>
      <c r="L57" s="410">
        <f t="shared" ref="L57:L66" si="15">ROUNDDOWN(E57*H57,-1)</f>
        <v>0</v>
      </c>
      <c r="M57" s="423"/>
    </row>
    <row r="58" spans="1:14" s="378" customFormat="1" ht="13.9" customHeight="1">
      <c r="B58" s="562"/>
      <c r="C58" s="542" t="s">
        <v>23</v>
      </c>
      <c r="D58" s="543"/>
      <c r="E58" s="427">
        <v>0</v>
      </c>
      <c r="F58" s="421">
        <f t="shared" si="8"/>
        <v>12</v>
      </c>
      <c r="G58" s="422">
        <f t="shared" si="9"/>
        <v>7</v>
      </c>
      <c r="H58" s="418">
        <v>2.8</v>
      </c>
      <c r="I58" s="426"/>
      <c r="J58" s="410">
        <f t="shared" si="13"/>
        <v>0</v>
      </c>
      <c r="K58" s="410">
        <f t="shared" si="14"/>
        <v>0</v>
      </c>
      <c r="L58" s="410">
        <f t="shared" si="15"/>
        <v>0</v>
      </c>
      <c r="M58" s="423"/>
    </row>
    <row r="59" spans="1:14" s="378" customFormat="1" ht="13.9" customHeight="1">
      <c r="B59" s="563"/>
      <c r="C59" s="542" t="s">
        <v>202</v>
      </c>
      <c r="D59" s="543"/>
      <c r="E59" s="427">
        <v>0</v>
      </c>
      <c r="F59" s="421">
        <f t="shared" si="8"/>
        <v>12</v>
      </c>
      <c r="G59" s="422">
        <f t="shared" si="9"/>
        <v>7</v>
      </c>
      <c r="H59" s="418">
        <v>3</v>
      </c>
      <c r="I59" s="426"/>
      <c r="J59" s="410">
        <f t="shared" si="13"/>
        <v>0</v>
      </c>
      <c r="K59" s="410">
        <f t="shared" si="14"/>
        <v>0</v>
      </c>
      <c r="L59" s="410">
        <f t="shared" si="15"/>
        <v>0</v>
      </c>
      <c r="M59" s="423"/>
    </row>
    <row r="60" spans="1:14" s="378" customFormat="1" ht="13.9" customHeight="1">
      <c r="B60" s="547" t="s">
        <v>186</v>
      </c>
      <c r="C60" s="529" t="s">
        <v>187</v>
      </c>
      <c r="D60" s="409" t="s">
        <v>203</v>
      </c>
      <c r="E60" s="427">
        <v>0</v>
      </c>
      <c r="F60" s="421">
        <f t="shared" si="8"/>
        <v>12</v>
      </c>
      <c r="G60" s="422">
        <f t="shared" si="9"/>
        <v>7</v>
      </c>
      <c r="H60" s="418">
        <v>8.6999999999999993</v>
      </c>
      <c r="I60" s="428"/>
      <c r="J60" s="410">
        <f t="shared" si="13"/>
        <v>0</v>
      </c>
      <c r="K60" s="410">
        <f t="shared" si="14"/>
        <v>0</v>
      </c>
      <c r="L60" s="410">
        <f t="shared" si="15"/>
        <v>0</v>
      </c>
      <c r="M60" s="423"/>
    </row>
    <row r="61" spans="1:14" s="378" customFormat="1" ht="13.9" customHeight="1">
      <c r="B61" s="545"/>
      <c r="C61" s="530"/>
      <c r="D61" s="409" t="s">
        <v>204</v>
      </c>
      <c r="E61" s="427">
        <v>170</v>
      </c>
      <c r="F61" s="421">
        <f t="shared" si="8"/>
        <v>12</v>
      </c>
      <c r="G61" s="422">
        <f t="shared" si="9"/>
        <v>7</v>
      </c>
      <c r="H61" s="429">
        <v>10</v>
      </c>
      <c r="I61" s="428"/>
      <c r="J61" s="410">
        <f t="shared" si="13"/>
        <v>2040</v>
      </c>
      <c r="K61" s="410">
        <f t="shared" si="14"/>
        <v>1190</v>
      </c>
      <c r="L61" s="410">
        <f t="shared" si="15"/>
        <v>1700</v>
      </c>
      <c r="M61" s="423"/>
    </row>
    <row r="62" spans="1:14" s="378" customFormat="1" ht="13.9" customHeight="1">
      <c r="B62" s="545"/>
      <c r="C62" s="513" t="s">
        <v>205</v>
      </c>
      <c r="D62" s="409" t="s">
        <v>206</v>
      </c>
      <c r="E62" s="427">
        <v>790</v>
      </c>
      <c r="F62" s="421">
        <f t="shared" si="8"/>
        <v>12</v>
      </c>
      <c r="G62" s="422">
        <f t="shared" si="9"/>
        <v>7</v>
      </c>
      <c r="H62" s="418">
        <v>8.6</v>
      </c>
      <c r="I62" s="428"/>
      <c r="J62" s="410">
        <f t="shared" si="13"/>
        <v>9480</v>
      </c>
      <c r="K62" s="410">
        <f t="shared" si="14"/>
        <v>5530</v>
      </c>
      <c r="L62" s="410">
        <f t="shared" si="15"/>
        <v>6790</v>
      </c>
      <c r="M62" s="423"/>
    </row>
    <row r="63" spans="1:14" s="378" customFormat="1" ht="13.9" customHeight="1">
      <c r="B63" s="545"/>
      <c r="C63" s="514"/>
      <c r="D63" s="409" t="s">
        <v>207</v>
      </c>
      <c r="E63" s="427">
        <v>0</v>
      </c>
      <c r="F63" s="421">
        <f t="shared" si="8"/>
        <v>12</v>
      </c>
      <c r="G63" s="422">
        <f t="shared" si="9"/>
        <v>7</v>
      </c>
      <c r="H63" s="418">
        <v>0</v>
      </c>
      <c r="I63" s="428"/>
      <c r="J63" s="410">
        <f t="shared" si="13"/>
        <v>0</v>
      </c>
      <c r="K63" s="410">
        <f t="shared" si="14"/>
        <v>0</v>
      </c>
      <c r="L63" s="410">
        <f t="shared" si="15"/>
        <v>0</v>
      </c>
      <c r="M63" s="423"/>
    </row>
    <row r="64" spans="1:14" s="378" customFormat="1" ht="13.9" customHeight="1">
      <c r="B64" s="563"/>
      <c r="C64" s="560" t="s">
        <v>208</v>
      </c>
      <c r="D64" s="561"/>
      <c r="E64" s="415"/>
      <c r="F64" s="421">
        <f t="shared" si="8"/>
        <v>12</v>
      </c>
      <c r="G64" s="422">
        <f t="shared" si="9"/>
        <v>7</v>
      </c>
      <c r="H64" s="418"/>
      <c r="I64" s="428"/>
      <c r="J64" s="410">
        <f t="shared" si="13"/>
        <v>0</v>
      </c>
      <c r="K64" s="410">
        <f t="shared" si="14"/>
        <v>0</v>
      </c>
      <c r="L64" s="410">
        <f t="shared" si="15"/>
        <v>0</v>
      </c>
      <c r="M64" s="423"/>
    </row>
    <row r="65" spans="2:13" s="378" customFormat="1" ht="13.9" customHeight="1">
      <c r="B65" s="430"/>
      <c r="C65" s="560" t="s">
        <v>208</v>
      </c>
      <c r="D65" s="561"/>
      <c r="E65" s="415"/>
      <c r="F65" s="421">
        <f t="shared" si="8"/>
        <v>12</v>
      </c>
      <c r="G65" s="422">
        <f t="shared" si="9"/>
        <v>7</v>
      </c>
      <c r="H65" s="418"/>
      <c r="I65" s="428"/>
      <c r="J65" s="410">
        <f t="shared" si="13"/>
        <v>0</v>
      </c>
      <c r="K65" s="410">
        <f t="shared" si="14"/>
        <v>0</v>
      </c>
      <c r="L65" s="410">
        <f t="shared" si="15"/>
        <v>0</v>
      </c>
      <c r="M65" s="423"/>
    </row>
    <row r="66" spans="2:13" s="378" customFormat="1" ht="13.9" customHeight="1">
      <c r="B66" s="430"/>
      <c r="C66" s="560" t="s">
        <v>208</v>
      </c>
      <c r="D66" s="561"/>
      <c r="E66" s="415"/>
      <c r="F66" s="421">
        <f t="shared" si="8"/>
        <v>12</v>
      </c>
      <c r="G66" s="422">
        <f t="shared" si="9"/>
        <v>7</v>
      </c>
      <c r="H66" s="418"/>
      <c r="I66" s="428"/>
      <c r="J66" s="410">
        <f t="shared" si="13"/>
        <v>0</v>
      </c>
      <c r="K66" s="410">
        <f t="shared" si="14"/>
        <v>0</v>
      </c>
      <c r="L66" s="410">
        <f t="shared" si="15"/>
        <v>0</v>
      </c>
      <c r="M66" s="431"/>
    </row>
    <row r="67" spans="2:13" s="378" customFormat="1" ht="13.9" customHeight="1">
      <c r="B67" s="536" t="s">
        <v>191</v>
      </c>
      <c r="C67" s="537"/>
      <c r="D67" s="537"/>
      <c r="E67" s="537"/>
      <c r="F67" s="537"/>
      <c r="G67" s="537"/>
      <c r="H67" s="537"/>
      <c r="I67" s="538"/>
      <c r="J67" s="411">
        <f>SUM(J43:J66)</f>
        <v>893280</v>
      </c>
      <c r="K67" s="411">
        <f>SUM(K43:K66)</f>
        <v>521080</v>
      </c>
      <c r="L67" s="411">
        <f>SUM(L43:L66)</f>
        <v>251444</v>
      </c>
      <c r="M67" s="412">
        <f>SUM(M43:M66)</f>
        <v>176225</v>
      </c>
    </row>
    <row r="68" spans="2:13" s="378" customFormat="1" ht="13.9" customHeight="1">
      <c r="B68" s="539" t="s">
        <v>209</v>
      </c>
      <c r="C68" s="540"/>
      <c r="D68" s="540"/>
      <c r="E68" s="540"/>
      <c r="F68" s="540"/>
      <c r="G68" s="540"/>
      <c r="H68" s="540"/>
      <c r="I68" s="541"/>
      <c r="J68" s="432">
        <f>+J38+J67</f>
        <v>1105560</v>
      </c>
      <c r="K68" s="432">
        <f>+K38+K67</f>
        <v>644910</v>
      </c>
      <c r="L68" s="432">
        <f>+L38+L67</f>
        <v>325287</v>
      </c>
      <c r="M68" s="432">
        <f>+M38+M67</f>
        <v>365030</v>
      </c>
    </row>
    <row r="69" spans="2:13" s="378" customFormat="1" ht="13.9" customHeight="1">
      <c r="B69" s="539" t="s">
        <v>210</v>
      </c>
      <c r="C69" s="540"/>
      <c r="D69" s="540"/>
      <c r="E69" s="540"/>
      <c r="F69" s="540"/>
      <c r="G69" s="540"/>
      <c r="H69" s="540"/>
      <c r="I69" s="541"/>
      <c r="J69" s="433"/>
      <c r="K69" s="564">
        <f>+K68+L68+M68</f>
        <v>1335227</v>
      </c>
      <c r="L69" s="564"/>
      <c r="M69" s="564"/>
    </row>
    <row r="70" spans="2:13" s="378" customFormat="1" ht="34.15" customHeight="1">
      <c r="E70" s="384"/>
      <c r="F70" s="384"/>
      <c r="J70" s="384"/>
      <c r="K70" s="535" t="s">
        <v>211</v>
      </c>
      <c r="L70" s="535"/>
      <c r="M70" s="434">
        <f>+K69/2</f>
        <v>667613.5</v>
      </c>
    </row>
    <row r="71" spans="2:13">
      <c r="E71" s="436"/>
      <c r="F71" s="436"/>
      <c r="J71" s="436"/>
      <c r="K71" s="436"/>
      <c r="L71" s="436"/>
      <c r="M71" s="436"/>
    </row>
    <row r="72" spans="2:13">
      <c r="E72" s="436"/>
      <c r="F72" s="436"/>
      <c r="J72" s="436"/>
      <c r="K72" s="436"/>
      <c r="L72" s="436"/>
      <c r="M72" s="436"/>
    </row>
    <row r="73" spans="2:13">
      <c r="E73" s="436"/>
      <c r="F73" s="436"/>
      <c r="J73" s="436"/>
      <c r="K73" s="436"/>
      <c r="L73" s="436"/>
      <c r="M73" s="436"/>
    </row>
    <row r="74" spans="2:13">
      <c r="E74" s="436"/>
      <c r="F74" s="436"/>
      <c r="J74" s="436"/>
      <c r="K74" s="436"/>
      <c r="L74" s="436"/>
      <c r="M74" s="436"/>
    </row>
    <row r="75" spans="2:13">
      <c r="E75" s="436"/>
      <c r="F75" s="436"/>
      <c r="J75" s="436"/>
      <c r="K75" s="436"/>
      <c r="L75" s="436"/>
      <c r="M75" s="436"/>
    </row>
    <row r="76" spans="2:13">
      <c r="E76" s="436"/>
      <c r="F76" s="436"/>
      <c r="J76" s="436"/>
      <c r="K76" s="436"/>
      <c r="L76" s="436"/>
      <c r="M76" s="436"/>
    </row>
    <row r="77" spans="2:13">
      <c r="E77" s="436"/>
      <c r="F77" s="436"/>
      <c r="J77" s="436"/>
      <c r="K77" s="436"/>
      <c r="L77" s="436"/>
      <c r="M77" s="436"/>
    </row>
    <row r="78" spans="2:13">
      <c r="E78" s="436"/>
      <c r="F78" s="436"/>
      <c r="J78" s="436"/>
      <c r="K78" s="436"/>
      <c r="L78" s="436"/>
      <c r="M78" s="436"/>
    </row>
    <row r="79" spans="2:13">
      <c r="E79" s="436"/>
      <c r="F79" s="436"/>
      <c r="J79" s="436"/>
      <c r="K79" s="436"/>
      <c r="L79" s="436"/>
      <c r="M79" s="436"/>
    </row>
    <row r="80" spans="2:13">
      <c r="E80" s="436"/>
      <c r="F80" s="436"/>
      <c r="J80" s="436"/>
      <c r="K80" s="436"/>
      <c r="L80" s="436"/>
      <c r="M80" s="436"/>
    </row>
    <row r="81" spans="5:13">
      <c r="E81" s="436"/>
      <c r="F81" s="436"/>
      <c r="J81" s="436"/>
      <c r="K81" s="436"/>
      <c r="L81" s="436"/>
      <c r="M81" s="436"/>
    </row>
  </sheetData>
  <mergeCells count="66">
    <mergeCell ref="B67:I67"/>
    <mergeCell ref="B68:I68"/>
    <mergeCell ref="B69:I69"/>
    <mergeCell ref="K69:M69"/>
    <mergeCell ref="K70:L70"/>
    <mergeCell ref="C66:D66"/>
    <mergeCell ref="B53:B59"/>
    <mergeCell ref="C53:D53"/>
    <mergeCell ref="C54:D54"/>
    <mergeCell ref="C55:D55"/>
    <mergeCell ref="C56:D56"/>
    <mergeCell ref="C57:D57"/>
    <mergeCell ref="C58:D58"/>
    <mergeCell ref="C59:D59"/>
    <mergeCell ref="B60:B64"/>
    <mergeCell ref="C60:C61"/>
    <mergeCell ref="C62:C63"/>
    <mergeCell ref="C64:D64"/>
    <mergeCell ref="C65:D65"/>
    <mergeCell ref="B48:B52"/>
    <mergeCell ref="C48:D48"/>
    <mergeCell ref="C49:D49"/>
    <mergeCell ref="C50:D50"/>
    <mergeCell ref="C51:D51"/>
    <mergeCell ref="C52:D52"/>
    <mergeCell ref="C42:D42"/>
    <mergeCell ref="B43:B47"/>
    <mergeCell ref="C43:D43"/>
    <mergeCell ref="C44:D44"/>
    <mergeCell ref="C45:D45"/>
    <mergeCell ref="C46:D46"/>
    <mergeCell ref="C47:D47"/>
    <mergeCell ref="C36:D36"/>
    <mergeCell ref="C37:D37"/>
    <mergeCell ref="B38:I38"/>
    <mergeCell ref="B39:M39"/>
    <mergeCell ref="B40:B41"/>
    <mergeCell ref="C40:C41"/>
    <mergeCell ref="F40:I40"/>
    <mergeCell ref="M17:M37"/>
    <mergeCell ref="C18:D18"/>
    <mergeCell ref="C19:D19"/>
    <mergeCell ref="B20:B30"/>
    <mergeCell ref="C20:D20"/>
    <mergeCell ref="C21:D21"/>
    <mergeCell ref="C22:D22"/>
    <mergeCell ref="C23:D23"/>
    <mergeCell ref="C24:D24"/>
    <mergeCell ref="C26:D26"/>
    <mergeCell ref="C27:D27"/>
    <mergeCell ref="C28:D28"/>
    <mergeCell ref="C29:D29"/>
    <mergeCell ref="C30:D30"/>
    <mergeCell ref="B31:B35"/>
    <mergeCell ref="C31:C32"/>
    <mergeCell ref="C33:D33"/>
    <mergeCell ref="C34:D34"/>
    <mergeCell ref="C35:D35"/>
    <mergeCell ref="C25:D25"/>
    <mergeCell ref="B3:C7"/>
    <mergeCell ref="B14:B15"/>
    <mergeCell ref="C14:C15"/>
    <mergeCell ref="F14:I14"/>
    <mergeCell ref="C16:D16"/>
    <mergeCell ref="B17:B19"/>
    <mergeCell ref="C17:D17"/>
  </mergeCells>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2098B-012B-4BE1-8CBA-D3AD6FDD3B71}">
  <sheetPr>
    <tabColor rgb="FFFFCCFF"/>
  </sheetPr>
  <dimension ref="A1:N57"/>
  <sheetViews>
    <sheetView workbookViewId="0">
      <selection activeCell="A3" sqref="A3"/>
    </sheetView>
  </sheetViews>
  <sheetFormatPr defaultRowHeight="18.75"/>
  <cols>
    <col min="2" max="2" width="5.875" style="435" customWidth="1"/>
    <col min="3" max="3" width="5.625" style="435" bestFit="1" customWidth="1"/>
    <col min="4" max="4" width="5.75" style="435" bestFit="1" customWidth="1"/>
    <col min="5" max="5" width="7.75" style="437" bestFit="1" customWidth="1"/>
    <col min="6" max="6" width="5.875" style="437" customWidth="1"/>
    <col min="7" max="9" width="5.875" style="435" customWidth="1"/>
    <col min="10" max="13" width="8.75" style="437" customWidth="1"/>
    <col min="14" max="14" width="8.75" customWidth="1"/>
    <col min="15" max="16" width="3.375" customWidth="1"/>
  </cols>
  <sheetData>
    <row r="1" spans="2:13" ht="21">
      <c r="B1" s="361" t="s">
        <v>143</v>
      </c>
      <c r="C1" s="362"/>
      <c r="D1" s="362"/>
      <c r="E1" s="362"/>
      <c r="F1" s="362"/>
      <c r="G1" s="362"/>
      <c r="H1" s="362"/>
      <c r="I1" s="362"/>
      <c r="J1" s="362"/>
      <c r="K1" s="362"/>
      <c r="L1" s="362"/>
      <c r="M1" s="362"/>
    </row>
    <row r="2" spans="2:13">
      <c r="B2" s="363" t="s">
        <v>250</v>
      </c>
      <c r="C2" s="363"/>
      <c r="D2" s="363"/>
      <c r="E2" s="363"/>
      <c r="F2" s="363"/>
      <c r="G2" s="363"/>
      <c r="H2" s="363"/>
      <c r="I2" s="363"/>
      <c r="J2" s="363"/>
      <c r="K2" s="363"/>
      <c r="L2" s="363"/>
      <c r="M2" s="363"/>
    </row>
    <row r="3" spans="2:13">
      <c r="B3" s="519" t="s">
        <v>144</v>
      </c>
      <c r="C3" s="520"/>
      <c r="D3" s="364" t="s">
        <v>145</v>
      </c>
      <c r="E3" s="365"/>
      <c r="F3" s="365"/>
      <c r="G3" s="365"/>
      <c r="H3" s="365"/>
      <c r="I3" s="365"/>
      <c r="J3" s="365"/>
      <c r="K3" s="365"/>
      <c r="L3" s="365"/>
      <c r="M3" s="366"/>
    </row>
    <row r="4" spans="2:13">
      <c r="B4" s="521"/>
      <c r="C4" s="522"/>
      <c r="D4" s="367" t="s">
        <v>146</v>
      </c>
      <c r="E4" s="368"/>
      <c r="F4" s="368"/>
      <c r="G4" s="368"/>
      <c r="H4" s="368"/>
      <c r="I4" s="368"/>
      <c r="J4" s="368"/>
      <c r="K4" s="368"/>
      <c r="L4" s="368"/>
      <c r="M4" s="369"/>
    </row>
    <row r="5" spans="2:13">
      <c r="B5" s="521"/>
      <c r="C5" s="522"/>
      <c r="D5" s="367" t="s">
        <v>147</v>
      </c>
      <c r="E5" s="368"/>
      <c r="F5" s="368"/>
      <c r="G5" s="368"/>
      <c r="H5" s="368"/>
      <c r="I5" s="368"/>
      <c r="J5" s="368"/>
      <c r="K5" s="368"/>
      <c r="L5" s="368"/>
      <c r="M5" s="369"/>
    </row>
    <row r="6" spans="2:13">
      <c r="B6" s="521"/>
      <c r="C6" s="522"/>
      <c r="D6" s="367" t="s">
        <v>148</v>
      </c>
      <c r="E6" s="368"/>
      <c r="F6" s="368"/>
      <c r="G6" s="368"/>
      <c r="H6" s="368"/>
      <c r="I6" s="368"/>
      <c r="J6" s="368"/>
      <c r="K6" s="368"/>
      <c r="L6" s="368"/>
      <c r="M6" s="369"/>
    </row>
    <row r="7" spans="2:13">
      <c r="B7" s="523"/>
      <c r="C7" s="524"/>
      <c r="D7" s="370" t="s">
        <v>149</v>
      </c>
      <c r="E7" s="371"/>
      <c r="F7" s="371"/>
      <c r="G7" s="371"/>
      <c r="H7" s="371"/>
      <c r="I7" s="371"/>
      <c r="J7" s="371"/>
      <c r="K7" s="371"/>
      <c r="L7" s="371"/>
      <c r="M7" s="372"/>
    </row>
    <row r="8" spans="2:13" ht="19.5">
      <c r="B8" s="373"/>
      <c r="C8" s="373"/>
      <c r="D8" s="373"/>
      <c r="E8" s="373"/>
      <c r="F8" s="373"/>
      <c r="G8" s="373"/>
      <c r="H8" s="373"/>
      <c r="I8" s="373"/>
      <c r="J8" s="373"/>
      <c r="K8" s="373"/>
      <c r="L8" s="373"/>
      <c r="M8" s="373"/>
    </row>
    <row r="9" spans="2:13" ht="19.5">
      <c r="B9" s="374" t="s">
        <v>150</v>
      </c>
      <c r="C9" s="375"/>
      <c r="D9" s="373" t="s">
        <v>151</v>
      </c>
      <c r="E9" s="373"/>
      <c r="F9" s="373"/>
      <c r="G9" s="373"/>
      <c r="H9" s="373"/>
      <c r="I9" s="373"/>
      <c r="J9" s="373"/>
      <c r="K9" s="373"/>
      <c r="L9" s="373"/>
      <c r="M9" s="373"/>
    </row>
    <row r="10" spans="2:13" ht="19.5">
      <c r="B10" s="373"/>
      <c r="C10" s="373"/>
      <c r="D10" s="373"/>
      <c r="E10" s="373"/>
      <c r="F10" s="373"/>
      <c r="G10" s="373"/>
      <c r="H10" s="373"/>
      <c r="I10" s="373"/>
      <c r="J10" s="373"/>
      <c r="K10" s="373"/>
      <c r="L10" s="373"/>
      <c r="M10" s="373"/>
    </row>
    <row r="11" spans="2:13" s="378" customFormat="1" ht="16.5">
      <c r="B11" s="376" t="s">
        <v>214</v>
      </c>
      <c r="C11" s="363"/>
      <c r="D11" s="363"/>
      <c r="E11" s="363"/>
      <c r="F11" s="363"/>
      <c r="G11" s="363"/>
      <c r="H11" s="363"/>
      <c r="I11" s="377" t="s">
        <v>153</v>
      </c>
      <c r="J11" s="363"/>
      <c r="K11" s="363"/>
      <c r="L11" s="363"/>
      <c r="M11" s="363"/>
    </row>
    <row r="12" spans="2:13" s="378" customFormat="1" ht="4.1500000000000004" customHeight="1">
      <c r="B12" s="363"/>
      <c r="C12" s="363"/>
      <c r="D12" s="363"/>
      <c r="E12" s="363"/>
      <c r="F12" s="363"/>
      <c r="G12" s="363"/>
      <c r="H12" s="363"/>
      <c r="I12" s="363"/>
      <c r="J12" s="363"/>
      <c r="K12" s="363"/>
      <c r="L12" s="363"/>
      <c r="M12" s="363"/>
    </row>
    <row r="13" spans="2:13" s="378" customFormat="1" ht="14.25" thickBot="1">
      <c r="B13" s="379" t="s">
        <v>154</v>
      </c>
      <c r="C13" s="380"/>
      <c r="D13" s="378">
        <v>4</v>
      </c>
      <c r="E13" s="378" t="s">
        <v>155</v>
      </c>
      <c r="F13" s="381"/>
      <c r="G13" s="382"/>
      <c r="H13" s="383"/>
      <c r="J13" s="384"/>
      <c r="K13" s="384"/>
      <c r="L13" s="384"/>
      <c r="M13" s="384"/>
    </row>
    <row r="14" spans="2:13" s="378" customFormat="1" ht="13.9" customHeight="1" thickTop="1">
      <c r="B14" s="513" t="s">
        <v>156</v>
      </c>
      <c r="C14" s="515" t="s">
        <v>157</v>
      </c>
      <c r="D14" s="385" t="s">
        <v>158</v>
      </c>
      <c r="E14" s="386">
        <v>50</v>
      </c>
      <c r="F14" s="517" t="s">
        <v>159</v>
      </c>
      <c r="G14" s="518"/>
      <c r="H14" s="518"/>
      <c r="I14" s="518"/>
      <c r="J14" s="387">
        <v>49020</v>
      </c>
      <c r="K14" s="384"/>
      <c r="L14" s="384"/>
      <c r="M14" s="384"/>
    </row>
    <row r="15" spans="2:13" s="378" customFormat="1" ht="13.9" customHeight="1" thickBot="1">
      <c r="B15" s="514"/>
      <c r="C15" s="516"/>
      <c r="D15" s="389" t="s">
        <v>160</v>
      </c>
      <c r="E15" s="511">
        <f>SUM(I17:I26)</f>
        <v>55</v>
      </c>
      <c r="F15" s="391" t="s">
        <v>161</v>
      </c>
      <c r="G15" s="392">
        <v>4</v>
      </c>
      <c r="H15" s="393" t="s">
        <v>162</v>
      </c>
      <c r="I15" s="394">
        <v>3</v>
      </c>
      <c r="J15" s="395">
        <v>6130</v>
      </c>
      <c r="K15" s="384"/>
      <c r="L15" s="384"/>
      <c r="M15" s="384"/>
    </row>
    <row r="16" spans="2:13" s="378" customFormat="1" ht="13.9" customHeight="1" thickTop="1">
      <c r="B16" s="385" t="s">
        <v>163</v>
      </c>
      <c r="C16" s="512" t="s">
        <v>164</v>
      </c>
      <c r="D16" s="512"/>
      <c r="E16" s="396" t="s">
        <v>165</v>
      </c>
      <c r="F16" s="397" t="s">
        <v>166</v>
      </c>
      <c r="G16" s="398" t="s">
        <v>167</v>
      </c>
      <c r="H16" s="398" t="s">
        <v>168</v>
      </c>
      <c r="I16" s="399" t="s">
        <v>169</v>
      </c>
      <c r="J16" s="400" t="s">
        <v>170</v>
      </c>
      <c r="K16" s="401" t="s">
        <v>171</v>
      </c>
      <c r="L16" s="401" t="s">
        <v>172</v>
      </c>
      <c r="M16" s="402" t="s">
        <v>173</v>
      </c>
    </row>
    <row r="17" spans="1:14" s="378" customFormat="1" ht="13.9" customHeight="1">
      <c r="B17" s="525" t="s">
        <v>212</v>
      </c>
      <c r="C17" s="526" t="s">
        <v>175</v>
      </c>
      <c r="D17" s="526"/>
      <c r="E17" s="415">
        <v>650</v>
      </c>
      <c r="F17" s="416">
        <v>12</v>
      </c>
      <c r="G17" s="417">
        <v>6</v>
      </c>
      <c r="H17" s="418">
        <v>3.1</v>
      </c>
      <c r="I17" s="419">
        <v>15</v>
      </c>
      <c r="J17" s="408">
        <f>+E17*F17*I17</f>
        <v>117000</v>
      </c>
      <c r="K17" s="408">
        <f>+E17*G17*I17</f>
        <v>58500</v>
      </c>
      <c r="L17" s="408">
        <f>+E17*H17*I17</f>
        <v>30225</v>
      </c>
      <c r="M17" s="420">
        <f>+J14*G15+J15*I15</f>
        <v>214470</v>
      </c>
    </row>
    <row r="18" spans="1:14" s="378" customFormat="1" ht="13.9" customHeight="1">
      <c r="B18" s="525"/>
      <c r="C18" s="526" t="s">
        <v>63</v>
      </c>
      <c r="D18" s="526"/>
      <c r="E18" s="415">
        <v>720</v>
      </c>
      <c r="F18" s="421">
        <f t="shared" ref="F18:F42" si="0">+$F$17</f>
        <v>12</v>
      </c>
      <c r="G18" s="422">
        <f t="shared" ref="G18:G42" si="1">+$G$17</f>
        <v>6</v>
      </c>
      <c r="H18" s="418">
        <v>3.1</v>
      </c>
      <c r="I18" s="419">
        <v>11</v>
      </c>
      <c r="J18" s="408">
        <f t="shared" ref="J18:J29" si="2">+E18*F18*I18</f>
        <v>95040</v>
      </c>
      <c r="K18" s="408">
        <f t="shared" ref="K18:K29" si="3">+E18*G18*I18</f>
        <v>47520</v>
      </c>
      <c r="L18" s="408">
        <f t="shared" ref="L18:L29" si="4">+E18*H18*I18</f>
        <v>24552</v>
      </c>
      <c r="M18" s="423"/>
    </row>
    <row r="19" spans="1:14" s="378" customFormat="1" ht="13.9" customHeight="1">
      <c r="B19" s="525"/>
      <c r="C19" s="526" t="s">
        <v>193</v>
      </c>
      <c r="D19" s="526"/>
      <c r="E19" s="415">
        <v>1260</v>
      </c>
      <c r="F19" s="421">
        <f t="shared" si="0"/>
        <v>12</v>
      </c>
      <c r="G19" s="422">
        <f t="shared" si="1"/>
        <v>6</v>
      </c>
      <c r="H19" s="418">
        <v>3.1</v>
      </c>
      <c r="I19" s="419">
        <v>9</v>
      </c>
      <c r="J19" s="408">
        <f t="shared" si="2"/>
        <v>136080</v>
      </c>
      <c r="K19" s="408">
        <f t="shared" si="3"/>
        <v>68040</v>
      </c>
      <c r="L19" s="408">
        <f t="shared" si="4"/>
        <v>35154</v>
      </c>
      <c r="M19" s="423"/>
    </row>
    <row r="20" spans="1:14" s="378" customFormat="1" ht="13.9" customHeight="1">
      <c r="B20" s="525"/>
      <c r="C20" s="526" t="s">
        <v>194</v>
      </c>
      <c r="D20" s="526"/>
      <c r="E20" s="415">
        <v>1260</v>
      </c>
      <c r="F20" s="421">
        <f t="shared" si="0"/>
        <v>12</v>
      </c>
      <c r="G20" s="422">
        <f t="shared" si="1"/>
        <v>6</v>
      </c>
      <c r="H20" s="418">
        <v>3.1</v>
      </c>
      <c r="I20" s="419">
        <v>7</v>
      </c>
      <c r="J20" s="408">
        <f t="shared" si="2"/>
        <v>105840</v>
      </c>
      <c r="K20" s="408">
        <f t="shared" si="3"/>
        <v>52920</v>
      </c>
      <c r="L20" s="408">
        <f t="shared" si="4"/>
        <v>27342</v>
      </c>
      <c r="M20" s="423"/>
    </row>
    <row r="21" spans="1:14" s="378" customFormat="1" ht="13.9" customHeight="1">
      <c r="B21" s="525"/>
      <c r="C21" s="526" t="s">
        <v>195</v>
      </c>
      <c r="D21" s="526"/>
      <c r="E21" s="415">
        <v>2030</v>
      </c>
      <c r="F21" s="421">
        <f t="shared" si="0"/>
        <v>12</v>
      </c>
      <c r="G21" s="422">
        <f t="shared" si="1"/>
        <v>6</v>
      </c>
      <c r="H21" s="418">
        <v>3.1</v>
      </c>
      <c r="I21" s="419">
        <v>2</v>
      </c>
      <c r="J21" s="408">
        <f t="shared" si="2"/>
        <v>48720</v>
      </c>
      <c r="K21" s="408">
        <f t="shared" si="3"/>
        <v>24360</v>
      </c>
      <c r="L21" s="408">
        <f t="shared" si="4"/>
        <v>12586</v>
      </c>
      <c r="M21" s="423"/>
    </row>
    <row r="22" spans="1:14" s="378" customFormat="1" ht="13.9" customHeight="1">
      <c r="B22" s="525" t="s">
        <v>213</v>
      </c>
      <c r="C22" s="526" t="s">
        <v>175</v>
      </c>
      <c r="D22" s="526"/>
      <c r="E22" s="415">
        <v>550</v>
      </c>
      <c r="F22" s="421">
        <f t="shared" si="0"/>
        <v>12</v>
      </c>
      <c r="G22" s="422">
        <f t="shared" si="1"/>
        <v>6</v>
      </c>
      <c r="H22" s="418">
        <v>3</v>
      </c>
      <c r="I22" s="419">
        <v>0</v>
      </c>
      <c r="J22" s="408">
        <f t="shared" si="2"/>
        <v>0</v>
      </c>
      <c r="K22" s="408">
        <f t="shared" si="3"/>
        <v>0</v>
      </c>
      <c r="L22" s="408">
        <f t="shared" si="4"/>
        <v>0</v>
      </c>
      <c r="M22" s="423"/>
    </row>
    <row r="23" spans="1:14" s="378" customFormat="1" ht="13.9" customHeight="1">
      <c r="B23" s="525"/>
      <c r="C23" s="526" t="s">
        <v>63</v>
      </c>
      <c r="D23" s="526"/>
      <c r="E23" s="415">
        <v>620</v>
      </c>
      <c r="F23" s="421">
        <f t="shared" si="0"/>
        <v>12</v>
      </c>
      <c r="G23" s="422">
        <f t="shared" si="1"/>
        <v>6</v>
      </c>
      <c r="H23" s="418">
        <v>3</v>
      </c>
      <c r="I23" s="419">
        <v>3</v>
      </c>
      <c r="J23" s="408">
        <f t="shared" si="2"/>
        <v>22320</v>
      </c>
      <c r="K23" s="408">
        <f t="shared" si="3"/>
        <v>11160</v>
      </c>
      <c r="L23" s="408">
        <f t="shared" si="4"/>
        <v>5580</v>
      </c>
      <c r="M23" s="423"/>
    </row>
    <row r="24" spans="1:14" s="378" customFormat="1" ht="13.9" customHeight="1">
      <c r="B24" s="525"/>
      <c r="C24" s="526" t="s">
        <v>193</v>
      </c>
      <c r="D24" s="526"/>
      <c r="E24" s="415">
        <v>1150</v>
      </c>
      <c r="F24" s="421">
        <f t="shared" si="0"/>
        <v>12</v>
      </c>
      <c r="G24" s="422">
        <f t="shared" si="1"/>
        <v>6</v>
      </c>
      <c r="H24" s="418">
        <v>3.1</v>
      </c>
      <c r="I24" s="419">
        <v>3</v>
      </c>
      <c r="J24" s="408">
        <f t="shared" si="2"/>
        <v>41400</v>
      </c>
      <c r="K24" s="408">
        <f t="shared" si="3"/>
        <v>20700</v>
      </c>
      <c r="L24" s="408">
        <f t="shared" si="4"/>
        <v>10695</v>
      </c>
      <c r="M24" s="423"/>
    </row>
    <row r="25" spans="1:14" s="378" customFormat="1" ht="13.9" customHeight="1">
      <c r="B25" s="525"/>
      <c r="C25" s="526" t="s">
        <v>194</v>
      </c>
      <c r="D25" s="526"/>
      <c r="E25" s="415">
        <v>1150</v>
      </c>
      <c r="F25" s="421">
        <f t="shared" si="0"/>
        <v>12</v>
      </c>
      <c r="G25" s="422">
        <f t="shared" si="1"/>
        <v>6</v>
      </c>
      <c r="H25" s="418">
        <v>3.1</v>
      </c>
      <c r="I25" s="419">
        <v>2</v>
      </c>
      <c r="J25" s="408">
        <f t="shared" si="2"/>
        <v>27600</v>
      </c>
      <c r="K25" s="408">
        <f t="shared" si="3"/>
        <v>13800</v>
      </c>
      <c r="L25" s="408">
        <f t="shared" si="4"/>
        <v>7130</v>
      </c>
      <c r="M25" s="423"/>
    </row>
    <row r="26" spans="1:14" s="378" customFormat="1" ht="13.9" customHeight="1">
      <c r="B26" s="525"/>
      <c r="C26" s="526" t="s">
        <v>195</v>
      </c>
      <c r="D26" s="526"/>
      <c r="E26" s="415">
        <v>1920</v>
      </c>
      <c r="F26" s="421">
        <f t="shared" si="0"/>
        <v>12</v>
      </c>
      <c r="G26" s="422">
        <f t="shared" si="1"/>
        <v>6</v>
      </c>
      <c r="H26" s="418">
        <v>3.1</v>
      </c>
      <c r="I26" s="419">
        <v>3</v>
      </c>
      <c r="J26" s="408">
        <f t="shared" si="2"/>
        <v>69120</v>
      </c>
      <c r="K26" s="408">
        <f t="shared" si="3"/>
        <v>34560</v>
      </c>
      <c r="L26" s="408">
        <f t="shared" si="4"/>
        <v>17856</v>
      </c>
      <c r="M26" s="423"/>
    </row>
    <row r="27" spans="1:14" s="378" customFormat="1" ht="13.9" customHeight="1">
      <c r="A27" s="424"/>
      <c r="B27" s="527" t="s">
        <v>180</v>
      </c>
      <c r="C27" s="527"/>
      <c r="D27" s="527"/>
      <c r="E27" s="415">
        <v>30</v>
      </c>
      <c r="F27" s="421">
        <f t="shared" si="0"/>
        <v>12</v>
      </c>
      <c r="G27" s="422">
        <f t="shared" si="1"/>
        <v>6</v>
      </c>
      <c r="H27" s="418">
        <v>3.7</v>
      </c>
      <c r="I27" s="425">
        <v>15</v>
      </c>
      <c r="J27" s="408">
        <f t="shared" si="2"/>
        <v>5400</v>
      </c>
      <c r="K27" s="408">
        <f t="shared" si="3"/>
        <v>2700</v>
      </c>
      <c r="L27" s="408">
        <f t="shared" si="4"/>
        <v>1665</v>
      </c>
      <c r="M27" s="423"/>
      <c r="N27" s="424"/>
    </row>
    <row r="28" spans="1:14" s="378" customFormat="1" ht="13.9" customHeight="1">
      <c r="A28" s="424"/>
      <c r="B28" s="527" t="s">
        <v>198</v>
      </c>
      <c r="C28" s="527"/>
      <c r="D28" s="527"/>
      <c r="E28" s="415">
        <v>70</v>
      </c>
      <c r="F28" s="421">
        <f t="shared" si="0"/>
        <v>12</v>
      </c>
      <c r="G28" s="422">
        <f t="shared" si="1"/>
        <v>6</v>
      </c>
      <c r="H28" s="418">
        <v>3.2</v>
      </c>
      <c r="I28" s="426">
        <v>14</v>
      </c>
      <c r="J28" s="408">
        <f t="shared" si="2"/>
        <v>11760</v>
      </c>
      <c r="K28" s="408">
        <f t="shared" si="3"/>
        <v>5880</v>
      </c>
      <c r="L28" s="408">
        <f t="shared" si="4"/>
        <v>3136</v>
      </c>
      <c r="M28" s="423"/>
      <c r="N28" s="424"/>
    </row>
    <row r="29" spans="1:14" s="378" customFormat="1" ht="13.9" customHeight="1">
      <c r="A29" s="424"/>
      <c r="B29" s="527" t="s">
        <v>199</v>
      </c>
      <c r="C29" s="527"/>
      <c r="D29" s="527"/>
      <c r="E29" s="415">
        <v>0</v>
      </c>
      <c r="F29" s="421">
        <f t="shared" si="0"/>
        <v>12</v>
      </c>
      <c r="G29" s="422">
        <f t="shared" si="1"/>
        <v>6</v>
      </c>
      <c r="H29" s="418">
        <v>2.6</v>
      </c>
      <c r="I29" s="426">
        <v>9</v>
      </c>
      <c r="J29" s="408">
        <f t="shared" si="2"/>
        <v>0</v>
      </c>
      <c r="K29" s="408">
        <f t="shared" si="3"/>
        <v>0</v>
      </c>
      <c r="L29" s="408">
        <f t="shared" si="4"/>
        <v>0</v>
      </c>
      <c r="M29" s="423"/>
      <c r="N29" s="424"/>
    </row>
    <row r="30" spans="1:14" s="378" customFormat="1" ht="13.9" customHeight="1">
      <c r="B30" s="527" t="s">
        <v>200</v>
      </c>
      <c r="C30" s="527"/>
      <c r="D30" s="527"/>
      <c r="E30" s="427">
        <v>2640</v>
      </c>
      <c r="F30" s="421">
        <f t="shared" si="0"/>
        <v>12</v>
      </c>
      <c r="G30" s="422">
        <f t="shared" si="1"/>
        <v>6</v>
      </c>
      <c r="H30" s="418">
        <v>2.1</v>
      </c>
      <c r="I30" s="426"/>
      <c r="J30" s="410">
        <f>ROUNDDOWN(E30*F30,-1)</f>
        <v>31680</v>
      </c>
      <c r="K30" s="410">
        <f>ROUNDDOWN(E30*G30,-1)</f>
        <v>15840</v>
      </c>
      <c r="L30" s="410">
        <f>ROUNDDOWN(E30*H30,-1)</f>
        <v>5540</v>
      </c>
      <c r="M30" s="423"/>
    </row>
    <row r="31" spans="1:14" s="378" customFormat="1" ht="13.9" customHeight="1">
      <c r="B31" s="527" t="s">
        <v>201</v>
      </c>
      <c r="C31" s="527"/>
      <c r="D31" s="527"/>
      <c r="E31" s="427">
        <v>0</v>
      </c>
      <c r="F31" s="421">
        <f t="shared" si="0"/>
        <v>12</v>
      </c>
      <c r="G31" s="422">
        <f t="shared" si="1"/>
        <v>6</v>
      </c>
      <c r="H31" s="418">
        <v>2.6</v>
      </c>
      <c r="I31" s="426"/>
      <c r="J31" s="410">
        <f t="shared" ref="J31:J42" si="5">ROUNDDOWN(E31*F31,-1)</f>
        <v>0</v>
      </c>
      <c r="K31" s="410">
        <f t="shared" ref="K31:K42" si="6">ROUNDDOWN(E31*G31,-1)</f>
        <v>0</v>
      </c>
      <c r="L31" s="410">
        <f t="shared" ref="L31:L42" si="7">ROUNDDOWN(E31*H31,-1)</f>
        <v>0</v>
      </c>
      <c r="M31" s="423"/>
    </row>
    <row r="32" spans="1:14" s="378" customFormat="1" ht="13.9" customHeight="1">
      <c r="B32" s="527" t="s">
        <v>215</v>
      </c>
      <c r="C32" s="527"/>
      <c r="D32" s="527"/>
      <c r="E32" s="427">
        <v>0</v>
      </c>
      <c r="F32" s="421">
        <f t="shared" si="0"/>
        <v>12</v>
      </c>
      <c r="G32" s="422">
        <f t="shared" si="1"/>
        <v>6</v>
      </c>
      <c r="H32" s="418">
        <v>3</v>
      </c>
      <c r="I32" s="426"/>
      <c r="J32" s="410">
        <f t="shared" si="5"/>
        <v>0</v>
      </c>
      <c r="K32" s="410">
        <f t="shared" si="6"/>
        <v>0</v>
      </c>
      <c r="L32" s="410">
        <f t="shared" si="7"/>
        <v>0</v>
      </c>
      <c r="M32" s="423"/>
    </row>
    <row r="33" spans="2:13" s="378" customFormat="1" ht="13.9" customHeight="1">
      <c r="B33" s="527" t="s">
        <v>216</v>
      </c>
      <c r="C33" s="527"/>
      <c r="D33" s="527"/>
      <c r="E33" s="427">
        <v>0</v>
      </c>
      <c r="F33" s="421">
        <f t="shared" si="0"/>
        <v>12</v>
      </c>
      <c r="G33" s="422">
        <f t="shared" si="1"/>
        <v>6</v>
      </c>
      <c r="H33" s="418">
        <v>3</v>
      </c>
      <c r="I33" s="426"/>
      <c r="J33" s="410">
        <f t="shared" si="5"/>
        <v>0</v>
      </c>
      <c r="K33" s="410">
        <f t="shared" si="6"/>
        <v>0</v>
      </c>
      <c r="L33" s="410">
        <f t="shared" si="7"/>
        <v>0</v>
      </c>
      <c r="M33" s="423"/>
    </row>
    <row r="34" spans="2:13" s="378" customFormat="1" ht="13.9" customHeight="1">
      <c r="B34" s="527" t="s">
        <v>217</v>
      </c>
      <c r="C34" s="527"/>
      <c r="D34" s="527"/>
      <c r="E34" s="427">
        <v>2690</v>
      </c>
      <c r="F34" s="421">
        <f t="shared" si="0"/>
        <v>12</v>
      </c>
      <c r="G34" s="422">
        <f t="shared" si="1"/>
        <v>6</v>
      </c>
      <c r="H34" s="418">
        <v>4.9000000000000004</v>
      </c>
      <c r="I34" s="428"/>
      <c r="J34" s="410">
        <f t="shared" si="5"/>
        <v>32280</v>
      </c>
      <c r="K34" s="410">
        <f t="shared" si="6"/>
        <v>16140</v>
      </c>
      <c r="L34" s="410">
        <f t="shared" si="7"/>
        <v>13180</v>
      </c>
      <c r="M34" s="423"/>
    </row>
    <row r="35" spans="2:13" s="378" customFormat="1" ht="13.9" customHeight="1">
      <c r="B35" s="529" t="s">
        <v>187</v>
      </c>
      <c r="C35" s="531" t="s">
        <v>218</v>
      </c>
      <c r="D35" s="532"/>
      <c r="E35" s="427">
        <v>0</v>
      </c>
      <c r="F35" s="421">
        <f t="shared" si="0"/>
        <v>12</v>
      </c>
      <c r="G35" s="422">
        <f t="shared" si="1"/>
        <v>6</v>
      </c>
      <c r="H35" s="418">
        <v>8.5</v>
      </c>
      <c r="I35" s="428"/>
      <c r="J35" s="410">
        <f t="shared" si="5"/>
        <v>0</v>
      </c>
      <c r="K35" s="410">
        <f t="shared" si="6"/>
        <v>0</v>
      </c>
      <c r="L35" s="410">
        <f t="shared" si="7"/>
        <v>0</v>
      </c>
      <c r="M35" s="423"/>
    </row>
    <row r="36" spans="2:13" s="378" customFormat="1" ht="13.9" customHeight="1">
      <c r="B36" s="530"/>
      <c r="C36" s="531" t="s">
        <v>219</v>
      </c>
      <c r="D36" s="532"/>
      <c r="E36" s="427">
        <v>340</v>
      </c>
      <c r="F36" s="421">
        <f t="shared" si="0"/>
        <v>12</v>
      </c>
      <c r="G36" s="422">
        <f t="shared" si="1"/>
        <v>6</v>
      </c>
      <c r="H36" s="418">
        <v>9.6999999999999993</v>
      </c>
      <c r="I36" s="428"/>
      <c r="J36" s="410">
        <f t="shared" si="5"/>
        <v>4080</v>
      </c>
      <c r="K36" s="410">
        <f t="shared" si="6"/>
        <v>2040</v>
      </c>
      <c r="L36" s="410">
        <f t="shared" si="7"/>
        <v>3290</v>
      </c>
      <c r="M36" s="423"/>
    </row>
    <row r="37" spans="2:13" s="378" customFormat="1" ht="13.9" customHeight="1">
      <c r="B37" s="527" t="s">
        <v>220</v>
      </c>
      <c r="C37" s="527"/>
      <c r="D37" s="527"/>
      <c r="E37" s="427">
        <v>480</v>
      </c>
      <c r="F37" s="421">
        <f t="shared" si="0"/>
        <v>12</v>
      </c>
      <c r="G37" s="422">
        <f t="shared" si="1"/>
        <v>6</v>
      </c>
      <c r="H37" s="418">
        <v>9.1999999999999993</v>
      </c>
      <c r="I37" s="428"/>
      <c r="J37" s="410">
        <f t="shared" si="5"/>
        <v>5760</v>
      </c>
      <c r="K37" s="410">
        <f t="shared" si="6"/>
        <v>2880</v>
      </c>
      <c r="L37" s="410">
        <f t="shared" si="7"/>
        <v>4410</v>
      </c>
      <c r="M37" s="423"/>
    </row>
    <row r="38" spans="2:13" s="378" customFormat="1" ht="13.9" customHeight="1">
      <c r="B38" s="513" t="s">
        <v>205</v>
      </c>
      <c r="C38" s="531" t="s">
        <v>221</v>
      </c>
      <c r="D38" s="532"/>
      <c r="E38" s="427">
        <v>790</v>
      </c>
      <c r="F38" s="421">
        <f t="shared" si="0"/>
        <v>12</v>
      </c>
      <c r="G38" s="422">
        <f t="shared" si="1"/>
        <v>6</v>
      </c>
      <c r="H38" s="418">
        <v>8.4</v>
      </c>
      <c r="I38" s="428"/>
      <c r="J38" s="410">
        <f t="shared" si="5"/>
        <v>9480</v>
      </c>
      <c r="K38" s="410">
        <f t="shared" si="6"/>
        <v>4740</v>
      </c>
      <c r="L38" s="410">
        <f t="shared" si="7"/>
        <v>6630</v>
      </c>
      <c r="M38" s="423"/>
    </row>
    <row r="39" spans="2:13" s="378" customFormat="1" ht="13.9" customHeight="1">
      <c r="B39" s="514"/>
      <c r="C39" s="531" t="s">
        <v>222</v>
      </c>
      <c r="D39" s="532"/>
      <c r="E39" s="427">
        <v>0</v>
      </c>
      <c r="F39" s="421">
        <f t="shared" si="0"/>
        <v>12</v>
      </c>
      <c r="G39" s="422">
        <f t="shared" si="1"/>
        <v>6</v>
      </c>
      <c r="H39" s="418">
        <v>0</v>
      </c>
      <c r="I39" s="428"/>
      <c r="J39" s="410">
        <f t="shared" si="5"/>
        <v>0</v>
      </c>
      <c r="K39" s="410">
        <f t="shared" si="6"/>
        <v>0</v>
      </c>
      <c r="L39" s="410">
        <f t="shared" si="7"/>
        <v>0</v>
      </c>
      <c r="M39" s="423"/>
    </row>
    <row r="40" spans="2:13" s="378" customFormat="1" ht="13.9" customHeight="1">
      <c r="B40" s="528" t="s">
        <v>223</v>
      </c>
      <c r="C40" s="528"/>
      <c r="D40" s="528"/>
      <c r="E40" s="415"/>
      <c r="F40" s="421">
        <f t="shared" si="0"/>
        <v>12</v>
      </c>
      <c r="G40" s="422">
        <f t="shared" si="1"/>
        <v>6</v>
      </c>
      <c r="H40" s="418"/>
      <c r="I40" s="428"/>
      <c r="J40" s="410">
        <f t="shared" si="5"/>
        <v>0</v>
      </c>
      <c r="K40" s="410">
        <f t="shared" si="6"/>
        <v>0</v>
      </c>
      <c r="L40" s="410">
        <f t="shared" si="7"/>
        <v>0</v>
      </c>
      <c r="M40" s="423"/>
    </row>
    <row r="41" spans="2:13" s="378" customFormat="1" ht="13.9" customHeight="1">
      <c r="B41" s="528" t="s">
        <v>223</v>
      </c>
      <c r="C41" s="528"/>
      <c r="D41" s="528"/>
      <c r="E41" s="415"/>
      <c r="F41" s="421">
        <f t="shared" si="0"/>
        <v>12</v>
      </c>
      <c r="G41" s="422">
        <f t="shared" si="1"/>
        <v>6</v>
      </c>
      <c r="H41" s="418"/>
      <c r="I41" s="428"/>
      <c r="J41" s="410">
        <f t="shared" si="5"/>
        <v>0</v>
      </c>
      <c r="K41" s="410">
        <f t="shared" si="6"/>
        <v>0</v>
      </c>
      <c r="L41" s="410">
        <f t="shared" si="7"/>
        <v>0</v>
      </c>
      <c r="M41" s="423"/>
    </row>
    <row r="42" spans="2:13" s="378" customFormat="1" ht="13.9" customHeight="1">
      <c r="B42" s="528" t="s">
        <v>223</v>
      </c>
      <c r="C42" s="528"/>
      <c r="D42" s="528"/>
      <c r="E42" s="415"/>
      <c r="F42" s="421">
        <f t="shared" si="0"/>
        <v>12</v>
      </c>
      <c r="G42" s="422">
        <f t="shared" si="1"/>
        <v>6</v>
      </c>
      <c r="H42" s="418"/>
      <c r="I42" s="428"/>
      <c r="J42" s="410">
        <f t="shared" si="5"/>
        <v>0</v>
      </c>
      <c r="K42" s="410">
        <f t="shared" si="6"/>
        <v>0</v>
      </c>
      <c r="L42" s="410">
        <f t="shared" si="7"/>
        <v>0</v>
      </c>
      <c r="M42" s="431"/>
    </row>
    <row r="43" spans="2:13" s="378" customFormat="1" ht="13.9" customHeight="1">
      <c r="B43" s="536" t="s">
        <v>191</v>
      </c>
      <c r="C43" s="537"/>
      <c r="D43" s="537"/>
      <c r="E43" s="537"/>
      <c r="F43" s="537"/>
      <c r="G43" s="537"/>
      <c r="H43" s="537"/>
      <c r="I43" s="538"/>
      <c r="J43" s="411">
        <f>SUM(J17:J42)</f>
        <v>763560</v>
      </c>
      <c r="K43" s="411">
        <f t="shared" ref="K43:M43" si="8">SUM(K17:K42)</f>
        <v>381780</v>
      </c>
      <c r="L43" s="411">
        <f t="shared" si="8"/>
        <v>208971</v>
      </c>
      <c r="M43" s="412">
        <f t="shared" si="8"/>
        <v>214470</v>
      </c>
    </row>
    <row r="44" spans="2:13" s="378" customFormat="1" ht="13.9" customHeight="1">
      <c r="B44" s="539" t="s">
        <v>249</v>
      </c>
      <c r="C44" s="540"/>
      <c r="D44" s="540"/>
      <c r="E44" s="540"/>
      <c r="F44" s="540"/>
      <c r="G44" s="540"/>
      <c r="H44" s="540"/>
      <c r="I44" s="541"/>
      <c r="J44" s="411">
        <f>+J43</f>
        <v>763560</v>
      </c>
      <c r="K44" s="533">
        <f>+K43+L43</f>
        <v>590751</v>
      </c>
      <c r="L44" s="533"/>
      <c r="M44" s="412">
        <f>+M43</f>
        <v>214470</v>
      </c>
    </row>
    <row r="45" spans="2:13" s="378" customFormat="1" ht="13.9" customHeight="1">
      <c r="B45" s="539" t="s">
        <v>210</v>
      </c>
      <c r="C45" s="540"/>
      <c r="D45" s="540"/>
      <c r="E45" s="540"/>
      <c r="F45" s="540"/>
      <c r="G45" s="540"/>
      <c r="H45" s="540"/>
      <c r="I45" s="541"/>
      <c r="J45" s="412">
        <f>+J44</f>
        <v>763560</v>
      </c>
      <c r="K45" s="534">
        <f>+K44+M44</f>
        <v>805221</v>
      </c>
      <c r="L45" s="534"/>
      <c r="M45" s="534"/>
    </row>
    <row r="46" spans="2:13" s="378" customFormat="1" ht="34.15" customHeight="1">
      <c r="E46" s="384"/>
      <c r="F46" s="384"/>
      <c r="J46" s="384"/>
      <c r="K46" s="535" t="s">
        <v>211</v>
      </c>
      <c r="L46" s="535"/>
      <c r="M46" s="434">
        <f>+K45/2</f>
        <v>402610.5</v>
      </c>
    </row>
    <row r="47" spans="2:13">
      <c r="E47" s="436"/>
      <c r="F47" s="436"/>
      <c r="J47" s="436"/>
      <c r="K47" s="436"/>
      <c r="L47" s="436"/>
      <c r="M47" s="436"/>
    </row>
    <row r="48" spans="2:13">
      <c r="E48" s="436"/>
      <c r="F48" s="436"/>
      <c r="J48" s="436"/>
      <c r="K48" s="436"/>
      <c r="L48" s="436"/>
      <c r="M48" s="436"/>
    </row>
    <row r="49" spans="5:13">
      <c r="E49" s="436"/>
      <c r="F49" s="436"/>
      <c r="J49" s="436"/>
      <c r="K49" s="436"/>
      <c r="L49" s="436"/>
      <c r="M49" s="436"/>
    </row>
    <row r="50" spans="5:13">
      <c r="E50" s="436"/>
      <c r="F50" s="436"/>
      <c r="J50" s="436"/>
      <c r="K50" s="436"/>
      <c r="L50" s="436"/>
      <c r="M50" s="436"/>
    </row>
    <row r="51" spans="5:13">
      <c r="E51" s="436"/>
      <c r="F51" s="436"/>
      <c r="J51" s="436"/>
      <c r="K51" s="436"/>
      <c r="L51" s="436"/>
      <c r="M51" s="436"/>
    </row>
    <row r="52" spans="5:13">
      <c r="E52" s="436"/>
      <c r="F52" s="436"/>
      <c r="J52" s="436"/>
      <c r="K52" s="436"/>
      <c r="L52" s="436"/>
      <c r="M52" s="436"/>
    </row>
    <row r="53" spans="5:13">
      <c r="E53" s="436"/>
      <c r="F53" s="436"/>
      <c r="J53" s="436"/>
      <c r="K53" s="436"/>
      <c r="L53" s="436"/>
      <c r="M53" s="436"/>
    </row>
    <row r="54" spans="5:13">
      <c r="E54" s="436"/>
      <c r="F54" s="436"/>
      <c r="J54" s="436"/>
      <c r="K54" s="436"/>
      <c r="L54" s="436"/>
      <c r="M54" s="436"/>
    </row>
    <row r="55" spans="5:13">
      <c r="E55" s="436"/>
      <c r="F55" s="436"/>
      <c r="J55" s="436"/>
      <c r="K55" s="436"/>
      <c r="L55" s="436"/>
      <c r="M55" s="436"/>
    </row>
    <row r="56" spans="5:13">
      <c r="E56" s="436"/>
      <c r="F56" s="436"/>
      <c r="J56" s="436"/>
      <c r="K56" s="436"/>
      <c r="L56" s="436"/>
      <c r="M56" s="436"/>
    </row>
    <row r="57" spans="5:13">
      <c r="E57" s="436"/>
      <c r="F57" s="436"/>
      <c r="J57" s="436"/>
      <c r="K57" s="436"/>
      <c r="L57" s="436"/>
      <c r="M57" s="436"/>
    </row>
  </sheetData>
  <mergeCells count="41">
    <mergeCell ref="K44:L44"/>
    <mergeCell ref="K45:M45"/>
    <mergeCell ref="K46:L46"/>
    <mergeCell ref="B43:I43"/>
    <mergeCell ref="B44:I44"/>
    <mergeCell ref="B45:I45"/>
    <mergeCell ref="B42:D42"/>
    <mergeCell ref="B33:D33"/>
    <mergeCell ref="B34:D34"/>
    <mergeCell ref="B35:B36"/>
    <mergeCell ref="C35:D35"/>
    <mergeCell ref="C36:D36"/>
    <mergeCell ref="B37:D37"/>
    <mergeCell ref="B38:B39"/>
    <mergeCell ref="C38:D38"/>
    <mergeCell ref="C39:D39"/>
    <mergeCell ref="B40:D40"/>
    <mergeCell ref="B41:D41"/>
    <mergeCell ref="B32:D32"/>
    <mergeCell ref="B22:B26"/>
    <mergeCell ref="C22:D22"/>
    <mergeCell ref="C23:D23"/>
    <mergeCell ref="C24:D24"/>
    <mergeCell ref="C25:D25"/>
    <mergeCell ref="C26:D26"/>
    <mergeCell ref="B27:D27"/>
    <mergeCell ref="B28:D28"/>
    <mergeCell ref="B29:D29"/>
    <mergeCell ref="B30:D30"/>
    <mergeCell ref="B31:D31"/>
    <mergeCell ref="B17:B21"/>
    <mergeCell ref="C17:D17"/>
    <mergeCell ref="C18:D18"/>
    <mergeCell ref="C19:D19"/>
    <mergeCell ref="C20:D20"/>
    <mergeCell ref="C21:D21"/>
    <mergeCell ref="C16:D16"/>
    <mergeCell ref="B14:B15"/>
    <mergeCell ref="C14:C15"/>
    <mergeCell ref="F14:I14"/>
    <mergeCell ref="B3:C7"/>
  </mergeCells>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97E49-CE9D-4CFC-93F3-AD331C3DD9A7}">
  <sheetPr>
    <tabColor rgb="FFFFFFCC"/>
  </sheetPr>
  <dimension ref="A1:Q51"/>
  <sheetViews>
    <sheetView workbookViewId="0">
      <selection activeCell="H36" sqref="H36"/>
    </sheetView>
  </sheetViews>
  <sheetFormatPr defaultRowHeight="18.75"/>
  <sheetData>
    <row r="1" spans="1:17" ht="39.75">
      <c r="A1" s="577" t="s">
        <v>224</v>
      </c>
      <c r="B1" s="577"/>
      <c r="C1" s="577"/>
      <c r="D1" s="577"/>
      <c r="E1" s="577"/>
      <c r="F1" s="577"/>
      <c r="G1" s="577"/>
      <c r="H1" s="577"/>
      <c r="I1" s="577"/>
      <c r="J1" s="577"/>
      <c r="K1" s="577"/>
      <c r="L1" s="577"/>
      <c r="M1" s="577"/>
      <c r="N1" s="577"/>
      <c r="O1" s="577"/>
      <c r="P1" s="577"/>
      <c r="Q1" s="577"/>
    </row>
    <row r="2" spans="1:17" ht="40.5" thickBot="1">
      <c r="B2" s="438"/>
      <c r="C2" s="438"/>
    </row>
    <row r="3" spans="1:17" ht="40.5" thickBot="1">
      <c r="B3" s="438"/>
      <c r="C3" s="438"/>
      <c r="H3" s="578" t="s">
        <v>0</v>
      </c>
      <c r="I3" s="579"/>
      <c r="J3" s="579"/>
      <c r="K3" s="579"/>
      <c r="L3" s="580"/>
      <c r="M3" s="578" t="s">
        <v>225</v>
      </c>
      <c r="N3" s="579"/>
      <c r="O3" s="579"/>
      <c r="P3" s="579"/>
      <c r="Q3" s="580"/>
    </row>
    <row r="4" spans="1:17" ht="39.75">
      <c r="B4" s="438"/>
      <c r="C4" s="438"/>
      <c r="H4" s="439"/>
      <c r="I4" s="439"/>
      <c r="J4" s="439"/>
      <c r="K4" s="439"/>
      <c r="L4" s="439"/>
      <c r="M4" s="439"/>
      <c r="N4" s="439"/>
      <c r="O4" s="439"/>
      <c r="P4" s="439"/>
      <c r="Q4" s="439"/>
    </row>
    <row r="5" spans="1:17">
      <c r="B5" s="440" t="s">
        <v>226</v>
      </c>
      <c r="H5" s="439"/>
      <c r="I5" s="439"/>
      <c r="J5" s="439"/>
      <c r="K5" s="439"/>
      <c r="L5" s="439"/>
      <c r="M5" s="439"/>
      <c r="N5" s="439"/>
      <c r="O5" s="439"/>
      <c r="P5" s="439"/>
      <c r="Q5" s="439"/>
    </row>
    <row r="6" spans="1:17">
      <c r="B6" s="440" t="s">
        <v>227</v>
      </c>
      <c r="H6" s="439"/>
      <c r="I6" s="439"/>
      <c r="J6" s="439"/>
      <c r="K6" s="439"/>
      <c r="L6" s="439"/>
      <c r="M6" s="439"/>
      <c r="N6" s="439"/>
      <c r="O6" s="439"/>
      <c r="P6" s="439"/>
      <c r="Q6" s="439"/>
    </row>
    <row r="7" spans="1:17" ht="19.5">
      <c r="B7" s="440" t="s">
        <v>228</v>
      </c>
      <c r="C7" s="441"/>
      <c r="H7" s="439"/>
      <c r="I7" s="439"/>
      <c r="J7" s="439"/>
      <c r="K7" s="439"/>
      <c r="L7" s="439"/>
      <c r="M7" s="439"/>
      <c r="N7" s="439"/>
      <c r="O7" s="439"/>
      <c r="P7" s="439"/>
      <c r="Q7" s="439"/>
    </row>
    <row r="8" spans="1:17" ht="19.5">
      <c r="B8" s="441"/>
      <c r="C8" s="441"/>
      <c r="H8" s="439"/>
      <c r="I8" s="439"/>
      <c r="J8" s="439"/>
      <c r="K8" s="439"/>
      <c r="L8" s="439"/>
      <c r="M8" s="439"/>
      <c r="N8" s="439"/>
      <c r="O8" s="439"/>
      <c r="P8" s="439"/>
      <c r="Q8" s="439"/>
    </row>
    <row r="9" spans="1:17" ht="24.75" thickBot="1">
      <c r="A9" s="442" t="s">
        <v>229</v>
      </c>
    </row>
    <row r="10" spans="1:17">
      <c r="B10" s="581" t="s">
        <v>230</v>
      </c>
      <c r="C10" s="582"/>
      <c r="D10" s="582"/>
      <c r="E10" s="443">
        <v>4</v>
      </c>
      <c r="F10" s="444">
        <v>5</v>
      </c>
      <c r="G10" s="444">
        <v>6</v>
      </c>
      <c r="H10" s="444">
        <v>7</v>
      </c>
      <c r="I10" s="444">
        <v>8</v>
      </c>
      <c r="J10" s="444">
        <v>9</v>
      </c>
      <c r="K10" s="444">
        <v>10</v>
      </c>
      <c r="L10" s="444">
        <v>11</v>
      </c>
      <c r="M10" s="444">
        <v>12</v>
      </c>
      <c r="N10" s="444">
        <v>1</v>
      </c>
      <c r="O10" s="444">
        <v>2</v>
      </c>
      <c r="P10" s="445">
        <v>3</v>
      </c>
      <c r="Q10" s="585" t="s">
        <v>231</v>
      </c>
    </row>
    <row r="11" spans="1:17">
      <c r="B11" s="583"/>
      <c r="C11" s="584"/>
      <c r="D11" s="584"/>
      <c r="E11" s="587" t="s">
        <v>232</v>
      </c>
      <c r="F11" s="588"/>
      <c r="G11" s="588"/>
      <c r="H11" s="588"/>
      <c r="I11" s="588"/>
      <c r="J11" s="588"/>
      <c r="K11" s="588"/>
      <c r="L11" s="588"/>
      <c r="M11" s="588"/>
      <c r="N11" s="588"/>
      <c r="O11" s="588"/>
      <c r="P11" s="589"/>
      <c r="Q11" s="586"/>
    </row>
    <row r="12" spans="1:17">
      <c r="B12" s="565" t="s">
        <v>233</v>
      </c>
      <c r="C12" s="590"/>
      <c r="D12" s="446" t="s">
        <v>234</v>
      </c>
      <c r="E12" s="447"/>
      <c r="F12" s="448"/>
      <c r="G12" s="448"/>
      <c r="H12" s="448"/>
      <c r="I12" s="448"/>
      <c r="J12" s="448"/>
      <c r="K12" s="448"/>
      <c r="L12" s="448"/>
      <c r="M12" s="448"/>
      <c r="N12" s="448"/>
      <c r="O12" s="448"/>
      <c r="P12" s="449"/>
      <c r="Q12" s="450">
        <v>0</v>
      </c>
    </row>
    <row r="13" spans="1:17">
      <c r="B13" s="591"/>
      <c r="C13" s="592"/>
      <c r="D13" s="451" t="s">
        <v>235</v>
      </c>
      <c r="E13" s="452"/>
      <c r="F13" s="453" t="s">
        <v>236</v>
      </c>
      <c r="G13" s="453" t="s">
        <v>236</v>
      </c>
      <c r="H13" s="453" t="s">
        <v>236</v>
      </c>
      <c r="I13" s="453" t="s">
        <v>236</v>
      </c>
      <c r="J13" s="453" t="s">
        <v>236</v>
      </c>
      <c r="K13" s="453" t="s">
        <v>236</v>
      </c>
      <c r="L13" s="453" t="s">
        <v>236</v>
      </c>
      <c r="M13" s="453" t="s">
        <v>236</v>
      </c>
      <c r="N13" s="453" t="s">
        <v>236</v>
      </c>
      <c r="O13" s="453" t="s">
        <v>236</v>
      </c>
      <c r="P13" s="454" t="s">
        <v>236</v>
      </c>
      <c r="Q13" s="455" t="s">
        <v>237</v>
      </c>
    </row>
    <row r="14" spans="1:17">
      <c r="B14" s="593" t="s">
        <v>238</v>
      </c>
      <c r="C14" s="594"/>
      <c r="D14" s="446" t="s">
        <v>234</v>
      </c>
      <c r="E14" s="447"/>
      <c r="F14" s="448"/>
      <c r="G14" s="448"/>
      <c r="H14" s="448"/>
      <c r="I14" s="448"/>
      <c r="J14" s="448"/>
      <c r="K14" s="448"/>
      <c r="L14" s="448"/>
      <c r="M14" s="448"/>
      <c r="N14" s="448"/>
      <c r="O14" s="448"/>
      <c r="P14" s="449"/>
      <c r="Q14" s="450">
        <v>0</v>
      </c>
    </row>
    <row r="15" spans="1:17">
      <c r="B15" s="593"/>
      <c r="C15" s="594"/>
      <c r="D15" s="451" t="s">
        <v>235</v>
      </c>
      <c r="E15" s="452"/>
      <c r="F15" s="453" t="s">
        <v>236</v>
      </c>
      <c r="G15" s="453" t="s">
        <v>236</v>
      </c>
      <c r="H15" s="453" t="s">
        <v>236</v>
      </c>
      <c r="I15" s="453" t="s">
        <v>236</v>
      </c>
      <c r="J15" s="453" t="s">
        <v>236</v>
      </c>
      <c r="K15" s="453" t="s">
        <v>236</v>
      </c>
      <c r="L15" s="453" t="s">
        <v>236</v>
      </c>
      <c r="M15" s="453" t="s">
        <v>236</v>
      </c>
      <c r="N15" s="453" t="s">
        <v>236</v>
      </c>
      <c r="O15" s="453" t="s">
        <v>236</v>
      </c>
      <c r="P15" s="454" t="s">
        <v>236</v>
      </c>
      <c r="Q15" s="455"/>
    </row>
    <row r="16" spans="1:17">
      <c r="B16" s="595"/>
      <c r="C16" s="597" t="s">
        <v>239</v>
      </c>
      <c r="D16" s="446" t="s">
        <v>234</v>
      </c>
      <c r="E16" s="447"/>
      <c r="F16" s="448"/>
      <c r="G16" s="448"/>
      <c r="H16" s="448"/>
      <c r="I16" s="448"/>
      <c r="J16" s="448"/>
      <c r="K16" s="448"/>
      <c r="L16" s="448"/>
      <c r="M16" s="448"/>
      <c r="N16" s="448"/>
      <c r="O16" s="448"/>
      <c r="P16" s="449"/>
      <c r="Q16" s="450">
        <v>0</v>
      </c>
    </row>
    <row r="17" spans="1:17">
      <c r="B17" s="596"/>
      <c r="C17" s="598"/>
      <c r="D17" s="451" t="s">
        <v>235</v>
      </c>
      <c r="E17" s="452"/>
      <c r="F17" s="453" t="s">
        <v>236</v>
      </c>
      <c r="G17" s="453" t="s">
        <v>236</v>
      </c>
      <c r="H17" s="453" t="s">
        <v>236</v>
      </c>
      <c r="I17" s="453" t="s">
        <v>236</v>
      </c>
      <c r="J17" s="453" t="s">
        <v>236</v>
      </c>
      <c r="K17" s="453" t="s">
        <v>236</v>
      </c>
      <c r="L17" s="453" t="s">
        <v>236</v>
      </c>
      <c r="M17" s="453" t="s">
        <v>236</v>
      </c>
      <c r="N17" s="453" t="s">
        <v>236</v>
      </c>
      <c r="O17" s="453" t="s">
        <v>236</v>
      </c>
      <c r="P17" s="454" t="s">
        <v>236</v>
      </c>
      <c r="Q17" s="455"/>
    </row>
    <row r="18" spans="1:17">
      <c r="B18" s="565" t="s">
        <v>58</v>
      </c>
      <c r="C18" s="590"/>
      <c r="D18" s="446" t="s">
        <v>234</v>
      </c>
      <c r="E18" s="447"/>
      <c r="F18" s="448"/>
      <c r="G18" s="448"/>
      <c r="H18" s="448"/>
      <c r="I18" s="448"/>
      <c r="J18" s="448"/>
      <c r="K18" s="448"/>
      <c r="L18" s="448"/>
      <c r="M18" s="448"/>
      <c r="N18" s="448"/>
      <c r="O18" s="448"/>
      <c r="P18" s="449"/>
      <c r="Q18" s="450">
        <v>0</v>
      </c>
    </row>
    <row r="19" spans="1:17">
      <c r="B19" s="591"/>
      <c r="C19" s="599"/>
      <c r="D19" s="451" t="s">
        <v>235</v>
      </c>
      <c r="E19" s="452"/>
      <c r="F19" s="453" t="s">
        <v>236</v>
      </c>
      <c r="G19" s="453" t="s">
        <v>236</v>
      </c>
      <c r="H19" s="453" t="s">
        <v>236</v>
      </c>
      <c r="I19" s="453" t="s">
        <v>236</v>
      </c>
      <c r="J19" s="453" t="s">
        <v>236</v>
      </c>
      <c r="K19" s="453" t="s">
        <v>236</v>
      </c>
      <c r="L19" s="453" t="s">
        <v>236</v>
      </c>
      <c r="M19" s="453" t="s">
        <v>236</v>
      </c>
      <c r="N19" s="453" t="s">
        <v>236</v>
      </c>
      <c r="O19" s="453" t="s">
        <v>236</v>
      </c>
      <c r="P19" s="454" t="s">
        <v>236</v>
      </c>
      <c r="Q19" s="455"/>
    </row>
    <row r="20" spans="1:17">
      <c r="B20" s="565" t="s">
        <v>59</v>
      </c>
      <c r="C20" s="566"/>
      <c r="D20" s="446" t="s">
        <v>234</v>
      </c>
      <c r="E20" s="447"/>
      <c r="F20" s="448"/>
      <c r="G20" s="448"/>
      <c r="H20" s="448"/>
      <c r="I20" s="448"/>
      <c r="J20" s="448"/>
      <c r="K20" s="448"/>
      <c r="L20" s="448"/>
      <c r="M20" s="448"/>
      <c r="N20" s="448"/>
      <c r="O20" s="448"/>
      <c r="P20" s="449"/>
      <c r="Q20" s="450">
        <v>0</v>
      </c>
    </row>
    <row r="21" spans="1:17" ht="19.5" thickBot="1">
      <c r="B21" s="567"/>
      <c r="C21" s="568"/>
      <c r="D21" s="456" t="s">
        <v>235</v>
      </c>
      <c r="E21" s="457"/>
      <c r="F21" s="458" t="s">
        <v>236</v>
      </c>
      <c r="G21" s="458" t="s">
        <v>236</v>
      </c>
      <c r="H21" s="458" t="s">
        <v>236</v>
      </c>
      <c r="I21" s="458" t="s">
        <v>236</v>
      </c>
      <c r="J21" s="458" t="s">
        <v>236</v>
      </c>
      <c r="K21" s="458" t="s">
        <v>236</v>
      </c>
      <c r="L21" s="458" t="s">
        <v>236</v>
      </c>
      <c r="M21" s="458" t="s">
        <v>236</v>
      </c>
      <c r="N21" s="458" t="s">
        <v>236</v>
      </c>
      <c r="O21" s="458" t="s">
        <v>236</v>
      </c>
      <c r="P21" s="459" t="s">
        <v>236</v>
      </c>
      <c r="Q21" s="460"/>
    </row>
    <row r="22" spans="1:17" ht="20.25" thickTop="1" thickBot="1">
      <c r="B22" s="569" t="s">
        <v>42</v>
      </c>
      <c r="C22" s="570"/>
      <c r="D22" s="461"/>
      <c r="E22" s="462">
        <v>0</v>
      </c>
      <c r="F22" s="463"/>
      <c r="G22" s="463"/>
      <c r="H22" s="463"/>
      <c r="I22" s="463"/>
      <c r="J22" s="463"/>
      <c r="K22" s="463"/>
      <c r="L22" s="463"/>
      <c r="M22" s="463"/>
      <c r="N22" s="463"/>
      <c r="O22" s="463"/>
      <c r="P22" s="464"/>
      <c r="Q22" s="465">
        <v>0</v>
      </c>
    </row>
    <row r="23" spans="1:17">
      <c r="B23" s="439"/>
      <c r="C23" s="439"/>
      <c r="D23" s="439"/>
      <c r="F23" s="466"/>
      <c r="G23" s="466"/>
      <c r="H23" s="466"/>
      <c r="I23" s="466"/>
      <c r="J23" s="466"/>
      <c r="K23" s="466"/>
      <c r="L23" s="466"/>
      <c r="M23" s="466"/>
      <c r="N23" s="466"/>
      <c r="O23" s="466"/>
      <c r="P23" s="466"/>
    </row>
    <row r="24" spans="1:17">
      <c r="B24" s="439"/>
      <c r="C24" s="439"/>
      <c r="D24" s="439"/>
      <c r="F24" s="466"/>
      <c r="G24" s="466"/>
      <c r="H24" s="466"/>
      <c r="I24" s="466"/>
      <c r="J24" s="466"/>
      <c r="K24" s="466"/>
      <c r="L24" s="466"/>
      <c r="M24" s="466"/>
      <c r="N24" s="466"/>
      <c r="O24" s="466"/>
      <c r="P24" s="466"/>
    </row>
    <row r="25" spans="1:17" ht="24.75" thickBot="1">
      <c r="A25" s="442" t="s">
        <v>240</v>
      </c>
      <c r="E25" s="467"/>
    </row>
    <row r="26" spans="1:17">
      <c r="B26" s="571" t="s">
        <v>241</v>
      </c>
      <c r="C26" s="572"/>
      <c r="D26" s="573"/>
      <c r="E26" s="443">
        <v>4</v>
      </c>
      <c r="F26" s="468">
        <v>5</v>
      </c>
      <c r="G26" s="444">
        <v>6</v>
      </c>
      <c r="H26" s="469">
        <v>7</v>
      </c>
      <c r="I26" s="444">
        <v>8</v>
      </c>
      <c r="J26" s="444">
        <v>9</v>
      </c>
      <c r="K26" s="469">
        <v>10</v>
      </c>
      <c r="L26" s="444">
        <v>11</v>
      </c>
      <c r="M26" s="444">
        <v>12</v>
      </c>
      <c r="N26" s="444">
        <v>1</v>
      </c>
      <c r="O26" s="444">
        <v>2</v>
      </c>
      <c r="P26" s="445">
        <v>3</v>
      </c>
      <c r="Q26" s="600" t="s">
        <v>231</v>
      </c>
    </row>
    <row r="27" spans="1:17">
      <c r="B27" s="574"/>
      <c r="C27" s="575"/>
      <c r="D27" s="576"/>
      <c r="E27" s="470" t="s">
        <v>232</v>
      </c>
      <c r="F27" s="602" t="s">
        <v>242</v>
      </c>
      <c r="G27" s="602"/>
      <c r="H27" s="602"/>
      <c r="I27" s="602"/>
      <c r="J27" s="602"/>
      <c r="K27" s="602"/>
      <c r="L27" s="602"/>
      <c r="M27" s="602"/>
      <c r="N27" s="602"/>
      <c r="O27" s="602"/>
      <c r="P27" s="603"/>
      <c r="Q27" s="601"/>
    </row>
    <row r="28" spans="1:17">
      <c r="B28" s="604" t="s">
        <v>233</v>
      </c>
      <c r="C28" s="605"/>
      <c r="D28" s="471" t="s">
        <v>234</v>
      </c>
      <c r="E28" s="472"/>
      <c r="F28" s="473" t="s">
        <v>236</v>
      </c>
      <c r="G28" s="474" t="s">
        <v>236</v>
      </c>
      <c r="H28" s="474" t="s">
        <v>236</v>
      </c>
      <c r="I28" s="474" t="s">
        <v>236</v>
      </c>
      <c r="J28" s="474" t="s">
        <v>236</v>
      </c>
      <c r="K28" s="474" t="s">
        <v>236</v>
      </c>
      <c r="L28" s="474" t="s">
        <v>236</v>
      </c>
      <c r="M28" s="474" t="s">
        <v>236</v>
      </c>
      <c r="N28" s="474" t="s">
        <v>236</v>
      </c>
      <c r="O28" s="474" t="s">
        <v>236</v>
      </c>
      <c r="P28" s="475" t="s">
        <v>236</v>
      </c>
      <c r="Q28" s="476">
        <v>0</v>
      </c>
    </row>
    <row r="29" spans="1:17">
      <c r="B29" s="593" t="s">
        <v>238</v>
      </c>
      <c r="C29" s="594"/>
      <c r="D29" s="477" t="s">
        <v>234</v>
      </c>
      <c r="E29" s="472"/>
      <c r="F29" s="473" t="s">
        <v>236</v>
      </c>
      <c r="G29" s="474" t="s">
        <v>236</v>
      </c>
      <c r="H29" s="474" t="s">
        <v>236</v>
      </c>
      <c r="I29" s="474" t="s">
        <v>236</v>
      </c>
      <c r="J29" s="474" t="s">
        <v>236</v>
      </c>
      <c r="K29" s="474" t="s">
        <v>236</v>
      </c>
      <c r="L29" s="474" t="s">
        <v>236</v>
      </c>
      <c r="M29" s="474" t="s">
        <v>236</v>
      </c>
      <c r="N29" s="474" t="s">
        <v>236</v>
      </c>
      <c r="O29" s="474" t="s">
        <v>236</v>
      </c>
      <c r="P29" s="475" t="s">
        <v>236</v>
      </c>
      <c r="Q29" s="476">
        <v>0</v>
      </c>
    </row>
    <row r="30" spans="1:17" ht="63">
      <c r="B30" s="478"/>
      <c r="C30" s="479" t="s">
        <v>243</v>
      </c>
      <c r="D30" s="471" t="s">
        <v>234</v>
      </c>
      <c r="E30" s="472"/>
      <c r="F30" s="473" t="s">
        <v>236</v>
      </c>
      <c r="G30" s="474" t="s">
        <v>236</v>
      </c>
      <c r="H30" s="474" t="s">
        <v>236</v>
      </c>
      <c r="I30" s="474" t="s">
        <v>236</v>
      </c>
      <c r="J30" s="474" t="s">
        <v>236</v>
      </c>
      <c r="K30" s="474" t="s">
        <v>236</v>
      </c>
      <c r="L30" s="474" t="s">
        <v>236</v>
      </c>
      <c r="M30" s="474" t="s">
        <v>236</v>
      </c>
      <c r="N30" s="474" t="s">
        <v>236</v>
      </c>
      <c r="O30" s="474" t="s">
        <v>236</v>
      </c>
      <c r="P30" s="475" t="s">
        <v>236</v>
      </c>
      <c r="Q30" s="476">
        <v>0</v>
      </c>
    </row>
    <row r="31" spans="1:17">
      <c r="B31" s="604" t="s">
        <v>58</v>
      </c>
      <c r="C31" s="605"/>
      <c r="D31" s="471" t="s">
        <v>234</v>
      </c>
      <c r="E31" s="472"/>
      <c r="F31" s="473" t="s">
        <v>236</v>
      </c>
      <c r="G31" s="474" t="s">
        <v>236</v>
      </c>
      <c r="H31" s="474" t="s">
        <v>236</v>
      </c>
      <c r="I31" s="474" t="s">
        <v>236</v>
      </c>
      <c r="J31" s="474" t="s">
        <v>236</v>
      </c>
      <c r="K31" s="474" t="s">
        <v>236</v>
      </c>
      <c r="L31" s="474" t="s">
        <v>236</v>
      </c>
      <c r="M31" s="474" t="s">
        <v>236</v>
      </c>
      <c r="N31" s="474" t="s">
        <v>236</v>
      </c>
      <c r="O31" s="474" t="s">
        <v>236</v>
      </c>
      <c r="P31" s="475" t="s">
        <v>236</v>
      </c>
      <c r="Q31" s="476">
        <v>0</v>
      </c>
    </row>
    <row r="32" spans="1:17" ht="19.5" thickBot="1">
      <c r="B32" s="609" t="s">
        <v>59</v>
      </c>
      <c r="C32" s="610"/>
      <c r="D32" s="480" t="s">
        <v>234</v>
      </c>
      <c r="E32" s="481"/>
      <c r="F32" s="482" t="s">
        <v>236</v>
      </c>
      <c r="G32" s="483" t="s">
        <v>236</v>
      </c>
      <c r="H32" s="483" t="s">
        <v>236</v>
      </c>
      <c r="I32" s="483" t="s">
        <v>236</v>
      </c>
      <c r="J32" s="483" t="s">
        <v>236</v>
      </c>
      <c r="K32" s="483" t="s">
        <v>236</v>
      </c>
      <c r="L32" s="483" t="s">
        <v>236</v>
      </c>
      <c r="M32" s="483" t="s">
        <v>236</v>
      </c>
      <c r="N32" s="483" t="s">
        <v>236</v>
      </c>
      <c r="O32" s="483" t="s">
        <v>236</v>
      </c>
      <c r="P32" s="484" t="s">
        <v>236</v>
      </c>
      <c r="Q32" s="485">
        <v>0</v>
      </c>
    </row>
    <row r="33" spans="1:17" ht="20.25" thickTop="1" thickBot="1">
      <c r="B33" s="611" t="s">
        <v>42</v>
      </c>
      <c r="C33" s="612"/>
      <c r="D33" s="486"/>
      <c r="E33" s="487">
        <v>0</v>
      </c>
      <c r="F33" s="488"/>
      <c r="G33" s="489"/>
      <c r="H33" s="489"/>
      <c r="I33" s="489"/>
      <c r="J33" s="489"/>
      <c r="K33" s="489"/>
      <c r="L33" s="489"/>
      <c r="M33" s="489"/>
      <c r="N33" s="489"/>
      <c r="O33" s="489"/>
      <c r="P33" s="490"/>
      <c r="Q33" s="491">
        <v>0</v>
      </c>
    </row>
    <row r="34" spans="1:17">
      <c r="B34" s="492" t="s">
        <v>244</v>
      </c>
    </row>
    <row r="39" spans="1:17" ht="24.75" thickBot="1">
      <c r="A39" s="442" t="s">
        <v>245</v>
      </c>
      <c r="E39" s="467"/>
    </row>
    <row r="40" spans="1:17">
      <c r="B40" s="571" t="s">
        <v>241</v>
      </c>
      <c r="C40" s="572"/>
      <c r="D40" s="573"/>
      <c r="E40" s="493">
        <v>4</v>
      </c>
      <c r="F40" s="443">
        <v>5</v>
      </c>
      <c r="G40" s="444">
        <v>6</v>
      </c>
      <c r="H40" s="469">
        <v>7</v>
      </c>
      <c r="I40" s="444">
        <v>8</v>
      </c>
      <c r="J40" s="444">
        <v>9</v>
      </c>
      <c r="K40" s="469">
        <v>10</v>
      </c>
      <c r="L40" s="444">
        <v>11</v>
      </c>
      <c r="M40" s="444">
        <v>12</v>
      </c>
      <c r="N40" s="444">
        <v>1</v>
      </c>
      <c r="O40" s="444">
        <v>2</v>
      </c>
      <c r="P40" s="445">
        <v>3</v>
      </c>
      <c r="Q40" s="600" t="s">
        <v>231</v>
      </c>
    </row>
    <row r="41" spans="1:17">
      <c r="B41" s="574"/>
      <c r="C41" s="575"/>
      <c r="D41" s="576"/>
      <c r="E41" s="494" t="s">
        <v>232</v>
      </c>
      <c r="F41" s="613" t="s">
        <v>246</v>
      </c>
      <c r="G41" s="602"/>
      <c r="H41" s="602"/>
      <c r="I41" s="602"/>
      <c r="J41" s="602"/>
      <c r="K41" s="602"/>
      <c r="L41" s="602"/>
      <c r="M41" s="602"/>
      <c r="N41" s="602"/>
      <c r="O41" s="602"/>
      <c r="P41" s="603"/>
      <c r="Q41" s="601"/>
    </row>
    <row r="42" spans="1:17">
      <c r="B42" s="604" t="s">
        <v>233</v>
      </c>
      <c r="C42" s="605"/>
      <c r="D42" s="495" t="s">
        <v>234</v>
      </c>
      <c r="E42" s="496">
        <v>0</v>
      </c>
      <c r="F42" s="497"/>
      <c r="G42" s="498"/>
      <c r="H42" s="498"/>
      <c r="I42" s="498"/>
      <c r="J42" s="498"/>
      <c r="K42" s="498"/>
      <c r="L42" s="498"/>
      <c r="M42" s="498"/>
      <c r="N42" s="498"/>
      <c r="O42" s="498"/>
      <c r="P42" s="499"/>
      <c r="Q42" s="476">
        <v>0</v>
      </c>
    </row>
    <row r="43" spans="1:17">
      <c r="B43" s="593" t="s">
        <v>238</v>
      </c>
      <c r="C43" s="594"/>
      <c r="D43" s="495" t="s">
        <v>234</v>
      </c>
      <c r="E43" s="496">
        <v>0</v>
      </c>
      <c r="F43" s="497"/>
      <c r="G43" s="498"/>
      <c r="H43" s="498"/>
      <c r="I43" s="498"/>
      <c r="J43" s="498"/>
      <c r="K43" s="498"/>
      <c r="L43" s="498"/>
      <c r="M43" s="498"/>
      <c r="N43" s="498"/>
      <c r="O43" s="498"/>
      <c r="P43" s="499"/>
      <c r="Q43" s="476">
        <v>0</v>
      </c>
    </row>
    <row r="44" spans="1:17" ht="63">
      <c r="B44" s="478"/>
      <c r="C44" s="479" t="s">
        <v>243</v>
      </c>
      <c r="D44" s="495" t="s">
        <v>234</v>
      </c>
      <c r="E44" s="496">
        <v>0</v>
      </c>
      <c r="F44" s="497"/>
      <c r="G44" s="498"/>
      <c r="H44" s="498"/>
      <c r="I44" s="498"/>
      <c r="J44" s="498"/>
      <c r="K44" s="498"/>
      <c r="L44" s="498"/>
      <c r="M44" s="498"/>
      <c r="N44" s="498"/>
      <c r="O44" s="498"/>
      <c r="P44" s="499"/>
      <c r="Q44" s="476">
        <v>0</v>
      </c>
    </row>
    <row r="45" spans="1:17">
      <c r="B45" s="604" t="s">
        <v>58</v>
      </c>
      <c r="C45" s="605"/>
      <c r="D45" s="495" t="s">
        <v>234</v>
      </c>
      <c r="E45" s="496">
        <v>0</v>
      </c>
      <c r="F45" s="497"/>
      <c r="G45" s="498"/>
      <c r="H45" s="498"/>
      <c r="I45" s="498"/>
      <c r="J45" s="498"/>
      <c r="K45" s="498"/>
      <c r="L45" s="498"/>
      <c r="M45" s="498"/>
      <c r="N45" s="498"/>
      <c r="O45" s="498"/>
      <c r="P45" s="499"/>
      <c r="Q45" s="476">
        <v>0</v>
      </c>
    </row>
    <row r="46" spans="1:17" ht="19.5" thickBot="1">
      <c r="B46" s="609" t="s">
        <v>59</v>
      </c>
      <c r="C46" s="610"/>
      <c r="D46" s="500" t="s">
        <v>234</v>
      </c>
      <c r="E46" s="501">
        <v>0</v>
      </c>
      <c r="F46" s="502"/>
      <c r="G46" s="503"/>
      <c r="H46" s="503"/>
      <c r="I46" s="503"/>
      <c r="J46" s="503"/>
      <c r="K46" s="503"/>
      <c r="L46" s="503"/>
      <c r="M46" s="503"/>
      <c r="N46" s="503"/>
      <c r="O46" s="503"/>
      <c r="P46" s="504"/>
      <c r="Q46" s="485">
        <v>0</v>
      </c>
    </row>
    <row r="47" spans="1:17" ht="20.25" thickTop="1" thickBot="1">
      <c r="B47" s="569" t="s">
        <v>42</v>
      </c>
      <c r="C47" s="570"/>
      <c r="D47" s="505"/>
      <c r="E47" s="506">
        <v>0</v>
      </c>
      <c r="F47" s="507"/>
      <c r="G47" s="463"/>
      <c r="H47" s="463"/>
      <c r="I47" s="463"/>
      <c r="J47" s="463"/>
      <c r="K47" s="463"/>
      <c r="L47" s="463"/>
      <c r="M47" s="463"/>
      <c r="N47" s="463"/>
      <c r="O47" s="463"/>
      <c r="P47" s="464"/>
      <c r="Q47" s="491">
        <v>0</v>
      </c>
    </row>
    <row r="48" spans="1:17">
      <c r="B48" s="492" t="s">
        <v>244</v>
      </c>
      <c r="E48" s="508"/>
      <c r="F48" s="508"/>
      <c r="G48" s="508"/>
      <c r="H48" s="508"/>
      <c r="I48" s="508"/>
      <c r="J48" s="508"/>
      <c r="K48" s="508"/>
      <c r="L48" s="508"/>
      <c r="M48" s="508"/>
      <c r="N48" s="508"/>
      <c r="O48" s="508"/>
      <c r="P48" s="508"/>
      <c r="Q48" s="508"/>
    </row>
    <row r="49" spans="2:17">
      <c r="E49" s="508"/>
      <c r="F49" s="508"/>
      <c r="G49" s="508"/>
      <c r="H49" s="508"/>
      <c r="I49" s="508"/>
      <c r="J49" s="508"/>
      <c r="K49" s="508"/>
      <c r="L49" s="508"/>
      <c r="M49" s="508"/>
      <c r="N49" s="508"/>
      <c r="O49" s="508"/>
      <c r="P49" s="508"/>
      <c r="Q49" s="508"/>
    </row>
    <row r="50" spans="2:17" ht="20.25" thickBot="1">
      <c r="B50" s="509" t="s">
        <v>247</v>
      </c>
      <c r="C50" s="510"/>
    </row>
    <row r="51" spans="2:17" ht="19.5" thickBot="1">
      <c r="B51" s="606" t="s">
        <v>248</v>
      </c>
      <c r="C51" s="607"/>
      <c r="D51" s="607"/>
      <c r="E51" s="607"/>
      <c r="F51" s="607"/>
      <c r="G51" s="607"/>
      <c r="H51" s="607"/>
      <c r="I51" s="607"/>
      <c r="J51" s="607"/>
      <c r="K51" s="607"/>
      <c r="L51" s="607"/>
      <c r="M51" s="607"/>
      <c r="N51" s="607"/>
      <c r="O51" s="607"/>
      <c r="P51" s="607"/>
      <c r="Q51" s="608"/>
    </row>
  </sheetData>
  <mergeCells count="30">
    <mergeCell ref="B28:C28"/>
    <mergeCell ref="B51:Q51"/>
    <mergeCell ref="B31:C31"/>
    <mergeCell ref="B32:C32"/>
    <mergeCell ref="B33:C33"/>
    <mergeCell ref="B40:D41"/>
    <mergeCell ref="Q40:Q41"/>
    <mergeCell ref="F41:P41"/>
    <mergeCell ref="B42:C42"/>
    <mergeCell ref="B43:C43"/>
    <mergeCell ref="B45:C45"/>
    <mergeCell ref="B46:C46"/>
    <mergeCell ref="B47:C47"/>
    <mergeCell ref="B29:C29"/>
    <mergeCell ref="B20:C21"/>
    <mergeCell ref="B22:C22"/>
    <mergeCell ref="B26:D27"/>
    <mergeCell ref="A1:Q1"/>
    <mergeCell ref="H3:L3"/>
    <mergeCell ref="M3:Q3"/>
    <mergeCell ref="B10:D11"/>
    <mergeCell ref="Q10:Q11"/>
    <mergeCell ref="E11:P11"/>
    <mergeCell ref="B12:C13"/>
    <mergeCell ref="B14:C15"/>
    <mergeCell ref="B16:B17"/>
    <mergeCell ref="C16:C17"/>
    <mergeCell ref="B18:C19"/>
    <mergeCell ref="Q26:Q27"/>
    <mergeCell ref="F27:P27"/>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J119"/>
  <sheetViews>
    <sheetView view="pageBreakPreview" zoomScale="70" zoomScaleNormal="70" zoomScaleSheetLayoutView="70" workbookViewId="0">
      <selection sqref="A1:H1"/>
    </sheetView>
  </sheetViews>
  <sheetFormatPr defaultColWidth="9" defaultRowHeight="18.75"/>
  <cols>
    <col min="1" max="1" width="2.875" style="11" customWidth="1"/>
    <col min="2" max="2" width="3" style="9" customWidth="1"/>
    <col min="3" max="3" width="14.625" style="9" customWidth="1"/>
    <col min="4" max="4" width="32.625" style="9" customWidth="1"/>
    <col min="5" max="5" width="12" style="9" customWidth="1"/>
    <col min="6" max="6" width="12.5" style="9" customWidth="1"/>
    <col min="7" max="7" width="12.5" style="10" customWidth="1"/>
    <col min="8" max="8" width="14.25" style="10" customWidth="1"/>
    <col min="9" max="9" width="12.125" style="10" customWidth="1"/>
    <col min="10" max="10" width="29" style="10" customWidth="1"/>
    <col min="11" max="16384" width="9" style="11"/>
  </cols>
  <sheetData>
    <row r="1" spans="1:10" s="8" customFormat="1" ht="31.5" customHeight="1">
      <c r="A1" s="646" t="s">
        <v>125</v>
      </c>
      <c r="B1" s="647"/>
      <c r="C1" s="647"/>
      <c r="D1" s="647"/>
      <c r="E1" s="647"/>
      <c r="F1" s="647"/>
      <c r="G1" s="647"/>
      <c r="H1" s="647"/>
      <c r="I1" s="7"/>
      <c r="J1" s="7"/>
    </row>
    <row r="2" spans="1:10" ht="19.5" customHeight="1" thickBot="1">
      <c r="A2" s="9"/>
    </row>
    <row r="3" spans="1:10" ht="19.5" customHeight="1" thickBot="1">
      <c r="A3" s="9"/>
      <c r="B3" s="656" t="s">
        <v>0</v>
      </c>
      <c r="C3" s="657"/>
      <c r="D3" s="653" t="s">
        <v>1</v>
      </c>
      <c r="E3" s="654"/>
      <c r="F3" s="654"/>
      <c r="G3" s="655"/>
      <c r="H3" s="9"/>
      <c r="J3" s="11"/>
    </row>
    <row r="4" spans="1:10" ht="19.5" customHeight="1">
      <c r="A4" s="9"/>
      <c r="C4" s="12"/>
      <c r="D4" s="12"/>
      <c r="E4" s="12"/>
      <c r="F4" s="12"/>
      <c r="G4" s="12"/>
      <c r="H4" s="12"/>
      <c r="J4" s="11"/>
    </row>
    <row r="5" spans="1:10" ht="19.5" customHeight="1" thickBot="1">
      <c r="A5" s="13" t="s">
        <v>2</v>
      </c>
      <c r="C5" s="12"/>
      <c r="D5" s="12"/>
      <c r="E5" s="12"/>
      <c r="F5" s="12"/>
      <c r="G5" s="12"/>
      <c r="H5" s="12"/>
      <c r="J5" s="11"/>
    </row>
    <row r="6" spans="1:10" ht="19.5" customHeight="1">
      <c r="A6" s="13"/>
      <c r="B6" s="651"/>
      <c r="C6" s="652"/>
      <c r="D6" s="652"/>
      <c r="E6" s="652"/>
      <c r="F6" s="193" t="s">
        <v>3</v>
      </c>
      <c r="G6" s="12"/>
      <c r="H6" s="12"/>
      <c r="I6" s="12"/>
    </row>
    <row r="7" spans="1:10" ht="19.5" customHeight="1">
      <c r="A7" s="13"/>
      <c r="B7" s="650" t="s">
        <v>4</v>
      </c>
      <c r="C7" s="632"/>
      <c r="D7" s="632"/>
      <c r="E7" s="632"/>
      <c r="F7" s="194">
        <v>160</v>
      </c>
      <c r="G7" s="12"/>
      <c r="H7" s="12"/>
      <c r="I7" s="12"/>
    </row>
    <row r="8" spans="1:10" ht="19.5" customHeight="1">
      <c r="A8" s="13"/>
      <c r="B8" s="648" t="s">
        <v>5</v>
      </c>
      <c r="C8" s="649"/>
      <c r="D8" s="649"/>
      <c r="E8" s="649"/>
      <c r="F8" s="210">
        <f>F9+F10</f>
        <v>160</v>
      </c>
      <c r="G8" s="12"/>
      <c r="H8" s="12"/>
      <c r="I8" s="12"/>
    </row>
    <row r="9" spans="1:10" ht="19.5" customHeight="1">
      <c r="A9" s="13"/>
      <c r="B9" s="128"/>
      <c r="C9" s="642" t="s">
        <v>6</v>
      </c>
      <c r="D9" s="643"/>
      <c r="E9" s="643"/>
      <c r="F9" s="131">
        <v>80</v>
      </c>
      <c r="G9" s="12"/>
      <c r="H9" s="12"/>
      <c r="I9" s="12"/>
    </row>
    <row r="10" spans="1:10" ht="19.5" customHeight="1">
      <c r="A10" s="13"/>
      <c r="B10" s="128"/>
      <c r="C10" s="642" t="s">
        <v>7</v>
      </c>
      <c r="D10" s="643"/>
      <c r="E10" s="643"/>
      <c r="F10" s="131">
        <v>80</v>
      </c>
      <c r="G10" s="12"/>
      <c r="H10" s="12"/>
      <c r="I10" s="12"/>
    </row>
    <row r="11" spans="1:10" ht="19.5" customHeight="1" thickBot="1">
      <c r="A11" s="13"/>
      <c r="B11" s="195"/>
      <c r="C11" s="644" t="s">
        <v>8</v>
      </c>
      <c r="D11" s="645"/>
      <c r="E11" s="645"/>
      <c r="F11" s="135">
        <v>40</v>
      </c>
      <c r="G11" s="12"/>
      <c r="H11" s="12"/>
      <c r="I11" s="12"/>
    </row>
    <row r="12" spans="1:10" ht="22.5" customHeight="1">
      <c r="A12" s="13"/>
      <c r="B12" s="136" t="s">
        <v>9</v>
      </c>
      <c r="C12" s="629" t="s">
        <v>10</v>
      </c>
      <c r="D12" s="629"/>
      <c r="E12" s="629"/>
      <c r="F12" s="629"/>
      <c r="G12" s="629"/>
      <c r="H12" s="12"/>
      <c r="I12" s="12"/>
    </row>
    <row r="13" spans="1:10" ht="22.5" customHeight="1">
      <c r="A13" s="9"/>
      <c r="B13" s="136"/>
      <c r="C13" s="629"/>
      <c r="D13" s="629"/>
      <c r="E13" s="629"/>
      <c r="F13" s="629"/>
      <c r="G13" s="629"/>
      <c r="H13" s="12"/>
      <c r="J13" s="11"/>
    </row>
    <row r="14" spans="1:10" ht="24" customHeight="1">
      <c r="B14" s="41"/>
      <c r="F14" s="10"/>
      <c r="G14" s="42"/>
      <c r="H14" s="43"/>
      <c r="J14" s="11"/>
    </row>
    <row r="15" spans="1:10" ht="19.5" customHeight="1" thickBot="1">
      <c r="A15" s="13" t="s">
        <v>11</v>
      </c>
      <c r="F15" s="10"/>
      <c r="J15" s="11"/>
    </row>
    <row r="16" spans="1:10" ht="33.75" customHeight="1">
      <c r="B16" s="196"/>
      <c r="C16" s="630"/>
      <c r="D16" s="631"/>
      <c r="E16" s="197" t="s">
        <v>12</v>
      </c>
      <c r="F16" s="198" t="s">
        <v>13</v>
      </c>
      <c r="G16" s="211" t="s">
        <v>14</v>
      </c>
      <c r="H16" s="11"/>
      <c r="I16" s="11"/>
      <c r="J16" s="11"/>
    </row>
    <row r="17" spans="2:10" ht="24" customHeight="1">
      <c r="B17" s="199" t="s">
        <v>15</v>
      </c>
      <c r="C17" s="632" t="s">
        <v>16</v>
      </c>
      <c r="D17" s="633"/>
      <c r="E17" s="308"/>
      <c r="F17" s="309"/>
      <c r="G17" s="310">
        <f>ROUND(SUM($G$18:$G$20),0)</f>
        <v>12</v>
      </c>
      <c r="H17" s="11"/>
      <c r="I17" s="11"/>
      <c r="J17" s="11"/>
    </row>
    <row r="18" spans="2:10" ht="24" customHeight="1">
      <c r="B18" s="200"/>
      <c r="C18" s="638" t="s">
        <v>116</v>
      </c>
      <c r="D18" s="639"/>
      <c r="E18" s="88" t="s">
        <v>18</v>
      </c>
      <c r="F18" s="201"/>
      <c r="G18" s="307">
        <f>IF($E$18="あり",ROUNDDOWN(($F$9)*1/25,1),ROUNDDOWN($F$9*1/30,1))</f>
        <v>3.2</v>
      </c>
      <c r="H18" s="11"/>
      <c r="I18" s="11"/>
      <c r="J18" s="11"/>
    </row>
    <row r="19" spans="2:10" ht="24" customHeight="1">
      <c r="B19" s="200"/>
      <c r="C19" s="634" t="s">
        <v>17</v>
      </c>
      <c r="D19" s="635"/>
      <c r="E19" s="88" t="s">
        <v>18</v>
      </c>
      <c r="F19" s="201"/>
      <c r="G19" s="640">
        <f>IF($E$19="あり",IF($E$20="あり",ROUNDDOWN(($F$10-$F$11)*1/15,1)+ROUNDDOWN($F$11*1/6,1),ROUNDDOWN($F$10*1/15,1)),IF($E$20="あり",ROUNDDOWN(($F$10-$F$11)*1/20,1)+ROUNDDOWN($F$11*1/6,1),ROUNDDOWN($F$10*1/20,1)))</f>
        <v>9.1999999999999993</v>
      </c>
      <c r="H19" s="25"/>
      <c r="I19" s="11"/>
      <c r="J19" s="11"/>
    </row>
    <row r="20" spans="2:10" ht="24" customHeight="1">
      <c r="B20" s="200"/>
      <c r="C20" s="636" t="s">
        <v>19</v>
      </c>
      <c r="D20" s="637"/>
      <c r="E20" s="202" t="s">
        <v>18</v>
      </c>
      <c r="F20" s="203"/>
      <c r="G20" s="641"/>
      <c r="H20" s="25"/>
      <c r="I20" s="11"/>
      <c r="J20" s="11"/>
    </row>
    <row r="21" spans="2:10" ht="24" customHeight="1">
      <c r="B21" s="278" t="s">
        <v>20</v>
      </c>
      <c r="C21" s="625" t="s">
        <v>21</v>
      </c>
      <c r="D21" s="626"/>
      <c r="E21" s="4" t="s">
        <v>18</v>
      </c>
      <c r="F21" s="279"/>
      <c r="G21" s="280">
        <f>IF(E21="あり",0.8,0)</f>
        <v>0.8</v>
      </c>
      <c r="H21" s="25"/>
      <c r="I21" s="11"/>
      <c r="J21" s="11"/>
    </row>
    <row r="22" spans="2:10" ht="24" customHeight="1">
      <c r="B22" s="278" t="s">
        <v>22</v>
      </c>
      <c r="C22" s="625" t="s">
        <v>23</v>
      </c>
      <c r="D22" s="626"/>
      <c r="E22" s="4" t="s">
        <v>18</v>
      </c>
      <c r="F22" s="281">
        <v>4</v>
      </c>
      <c r="G22" s="280">
        <f>IF(E22="あり",F22,0)</f>
        <v>4</v>
      </c>
      <c r="H22" s="11"/>
      <c r="I22" s="11"/>
      <c r="J22" s="11"/>
    </row>
    <row r="23" spans="2:10" ht="24" customHeight="1">
      <c r="B23" s="199" t="s">
        <v>24</v>
      </c>
      <c r="C23" s="625" t="s">
        <v>25</v>
      </c>
      <c r="D23" s="626"/>
      <c r="E23" s="282" t="s">
        <v>18</v>
      </c>
      <c r="F23" s="283"/>
      <c r="G23" s="284">
        <f>IF(E23="あり",IF(F7&gt;=151,1.5,0.8),0)</f>
        <v>1.5</v>
      </c>
      <c r="H23" s="11"/>
      <c r="I23" s="11"/>
      <c r="J23" s="11"/>
    </row>
    <row r="24" spans="2:10" ht="24" customHeight="1">
      <c r="B24" s="199" t="s">
        <v>26</v>
      </c>
      <c r="C24" s="627" t="s">
        <v>27</v>
      </c>
      <c r="D24" s="628"/>
      <c r="E24" s="4" t="s">
        <v>18</v>
      </c>
      <c r="F24" s="283"/>
      <c r="G24" s="212">
        <f>IF(E24="あり",IF(F7&gt;=151,3,2),0)</f>
        <v>3</v>
      </c>
      <c r="H24" s="11"/>
      <c r="I24" s="11"/>
      <c r="J24" s="11"/>
    </row>
    <row r="25" spans="2:10" ht="24" customHeight="1">
      <c r="B25" s="278" t="s">
        <v>28</v>
      </c>
      <c r="C25" s="625" t="s">
        <v>29</v>
      </c>
      <c r="D25" s="626"/>
      <c r="E25" s="4" t="s">
        <v>18</v>
      </c>
      <c r="F25" s="204"/>
      <c r="G25" s="280">
        <f>IF(E25="あり",1,0)</f>
        <v>1</v>
      </c>
      <c r="H25" s="11"/>
      <c r="I25" s="11"/>
      <c r="J25" s="11"/>
    </row>
    <row r="26" spans="2:10" ht="24" customHeight="1">
      <c r="B26" s="278" t="s">
        <v>30</v>
      </c>
      <c r="C26" s="625" t="s">
        <v>31</v>
      </c>
      <c r="D26" s="626"/>
      <c r="E26" s="4" t="s">
        <v>18</v>
      </c>
      <c r="F26" s="204"/>
      <c r="G26" s="280">
        <f>IF(E26="あり",0.8,0)</f>
        <v>0.8</v>
      </c>
      <c r="H26" s="11"/>
      <c r="I26" s="11"/>
      <c r="J26" s="11"/>
    </row>
    <row r="27" spans="2:10" ht="24" customHeight="1">
      <c r="B27" s="278" t="s">
        <v>32</v>
      </c>
      <c r="C27" s="625" t="s">
        <v>33</v>
      </c>
      <c r="D27" s="626"/>
      <c r="E27" s="4" t="s">
        <v>18</v>
      </c>
      <c r="F27" s="204"/>
      <c r="G27" s="280">
        <f>IF(E27="あり",0.8,0)</f>
        <v>0.8</v>
      </c>
      <c r="H27" s="11"/>
      <c r="I27" s="11"/>
      <c r="J27" s="11"/>
    </row>
    <row r="28" spans="2:10" ht="24" customHeight="1">
      <c r="B28" s="285" t="s">
        <v>34</v>
      </c>
      <c r="C28" s="625" t="s">
        <v>35</v>
      </c>
      <c r="D28" s="626"/>
      <c r="E28" s="4" t="s">
        <v>18</v>
      </c>
      <c r="F28" s="204"/>
      <c r="G28" s="280">
        <f>IF(E28="あり",0.8,0)</f>
        <v>0.8</v>
      </c>
      <c r="H28" s="11"/>
      <c r="I28" s="11"/>
      <c r="J28" s="11"/>
    </row>
    <row r="29" spans="2:10" ht="24" customHeight="1">
      <c r="B29" s="285" t="s">
        <v>36</v>
      </c>
      <c r="C29" s="625" t="s">
        <v>37</v>
      </c>
      <c r="D29" s="626"/>
      <c r="E29" s="4" t="s">
        <v>18</v>
      </c>
      <c r="F29" s="204"/>
      <c r="G29" s="280">
        <f>IF(E29="あり",0.5,0)</f>
        <v>0.5</v>
      </c>
      <c r="H29" s="11"/>
      <c r="I29" s="11"/>
      <c r="J29" s="11"/>
    </row>
    <row r="30" spans="2:10" ht="24" customHeight="1">
      <c r="B30" s="285" t="s">
        <v>38</v>
      </c>
      <c r="C30" s="625" t="s">
        <v>39</v>
      </c>
      <c r="D30" s="626"/>
      <c r="E30" s="4" t="s">
        <v>18</v>
      </c>
      <c r="F30" s="204"/>
      <c r="G30" s="325">
        <f>IF(E30="あり",-1,0)</f>
        <v>-1</v>
      </c>
      <c r="H30" s="11"/>
      <c r="I30" s="11"/>
      <c r="J30" s="11"/>
    </row>
    <row r="31" spans="2:10" ht="24" customHeight="1">
      <c r="B31" s="321" t="s">
        <v>40</v>
      </c>
      <c r="C31" s="620" t="s">
        <v>126</v>
      </c>
      <c r="D31" s="621"/>
      <c r="E31" s="322" t="s">
        <v>99</v>
      </c>
      <c r="F31" s="323">
        <v>3</v>
      </c>
      <c r="G31" s="324">
        <f>IF(E31="該当",-F31,0)</f>
        <v>-3</v>
      </c>
      <c r="H31" s="11"/>
      <c r="I31" s="11"/>
      <c r="J31" s="11"/>
    </row>
    <row r="32" spans="2:10" ht="24" customHeight="1" thickBot="1">
      <c r="B32" s="622" t="s">
        <v>41</v>
      </c>
      <c r="C32" s="623"/>
      <c r="D32" s="624"/>
      <c r="E32" s="205"/>
      <c r="F32" s="205"/>
      <c r="G32" s="213">
        <f>IF(F7&lt;=35,0.4,IF(F7&lt;=300,1.4,0.4))</f>
        <v>1.4</v>
      </c>
      <c r="H32" s="11"/>
      <c r="I32" s="11"/>
      <c r="J32" s="11"/>
    </row>
    <row r="33" spans="1:10" ht="24" customHeight="1" thickTop="1" thickBot="1">
      <c r="B33" s="206" t="s">
        <v>42</v>
      </c>
      <c r="C33" s="207"/>
      <c r="D33" s="207"/>
      <c r="E33" s="207"/>
      <c r="F33" s="154"/>
      <c r="G33" s="214">
        <f>SUM(G17,G21:G32)</f>
        <v>22.6</v>
      </c>
      <c r="H33" s="11"/>
      <c r="I33" s="11"/>
      <c r="J33" s="11"/>
    </row>
    <row r="34" spans="1:10" ht="24" customHeight="1" thickBot="1">
      <c r="B34" s="38" t="s">
        <v>43</v>
      </c>
      <c r="C34" s="39"/>
      <c r="D34" s="39"/>
      <c r="E34" s="39"/>
      <c r="F34" s="186"/>
      <c r="G34" s="292">
        <f>ROUND(G33,0)</f>
        <v>23</v>
      </c>
      <c r="I34" s="11"/>
      <c r="J34" s="11"/>
    </row>
    <row r="35" spans="1:10" ht="24" customHeight="1">
      <c r="B35" s="295" t="s">
        <v>44</v>
      </c>
      <c r="C35" s="296"/>
      <c r="D35" s="296"/>
      <c r="E35" s="296"/>
      <c r="F35" s="297"/>
      <c r="G35" s="298"/>
      <c r="I35" s="11"/>
      <c r="J35" s="11"/>
    </row>
    <row r="36" spans="1:10" ht="24" customHeight="1">
      <c r="B36" s="41"/>
      <c r="F36" s="10"/>
      <c r="G36" s="42"/>
      <c r="H36" s="43"/>
      <c r="J36" s="11"/>
    </row>
    <row r="37" spans="1:10" ht="24" customHeight="1" thickBot="1">
      <c r="A37" s="295" t="s">
        <v>127</v>
      </c>
      <c r="F37" s="333" t="s">
        <v>124</v>
      </c>
      <c r="G37" s="334" t="s">
        <v>123</v>
      </c>
      <c r="I37" s="208"/>
      <c r="J37" s="11"/>
    </row>
    <row r="38" spans="1:10" ht="24" customHeight="1" thickBot="1">
      <c r="B38" s="49" t="s">
        <v>46</v>
      </c>
      <c r="C38" s="46"/>
      <c r="D38" s="46"/>
      <c r="E38" s="46"/>
      <c r="F38" s="81">
        <f>IF(ROUND(G34/3,0)=0,1,ROUND(G34/3,0))</f>
        <v>8</v>
      </c>
      <c r="G38" s="292">
        <v>5</v>
      </c>
      <c r="I38" s="11"/>
      <c r="J38" s="11"/>
    </row>
    <row r="39" spans="1:10" ht="24" customHeight="1" thickBot="1">
      <c r="B39" s="49" t="s">
        <v>47</v>
      </c>
      <c r="C39" s="46"/>
      <c r="D39" s="46"/>
      <c r="E39" s="46"/>
      <c r="F39" s="81">
        <f>IF(ROUND(G34/5,0)=0,1,ROUND(G34/5,0))</f>
        <v>5</v>
      </c>
      <c r="G39" s="292">
        <v>5</v>
      </c>
      <c r="I39" s="11"/>
      <c r="J39" s="11"/>
    </row>
    <row r="40" spans="1:10" ht="33.75" customHeight="1">
      <c r="F40" s="10"/>
      <c r="H40" s="43"/>
      <c r="J40" s="11"/>
    </row>
    <row r="41" spans="1:10" ht="27" customHeight="1" thickBot="1">
      <c r="A41" s="13" t="s">
        <v>48</v>
      </c>
      <c r="F41" s="10"/>
      <c r="J41" s="11"/>
    </row>
    <row r="42" spans="1:10" ht="21" customHeight="1" thickBot="1">
      <c r="B42" s="49"/>
      <c r="C42" s="335">
        <v>51690</v>
      </c>
      <c r="D42" s="46" t="s">
        <v>49</v>
      </c>
      <c r="E42" s="46"/>
      <c r="F42" s="616">
        <f>IF(G38="","実人数を入力してください",IF(ISBLANK(G38), C42*F38, IF(F38 &lt; G38, C42*F38, C42*G38)))</f>
        <v>258450</v>
      </c>
      <c r="G42" s="617"/>
      <c r="I42" s="11"/>
      <c r="J42" s="11"/>
    </row>
    <row r="43" spans="1:10" ht="21" customHeight="1" thickBot="1">
      <c r="B43" s="52"/>
      <c r="C43" s="336">
        <v>6460</v>
      </c>
      <c r="D43" s="54" t="s">
        <v>50</v>
      </c>
      <c r="E43" s="54"/>
      <c r="F43" s="614">
        <f>IF(G39="","実人数を入力してください",IF(ISBLANK(G39), C43*F39, IF(F39 &lt; G39, C43*F39, C43*G39)))</f>
        <v>32300</v>
      </c>
      <c r="G43" s="615"/>
      <c r="I43" s="11"/>
    </row>
    <row r="44" spans="1:10" ht="21" customHeight="1" thickTop="1" thickBot="1">
      <c r="B44" s="56"/>
      <c r="C44" s="291" t="s">
        <v>51</v>
      </c>
      <c r="D44" s="58"/>
      <c r="E44" s="58"/>
      <c r="F44" s="618">
        <f>SUM(F42:G43)</f>
        <v>290750</v>
      </c>
      <c r="G44" s="619"/>
    </row>
    <row r="45" spans="1:10" ht="33.75" customHeight="1"/>
    <row r="46" spans="1:10" ht="33.75" customHeight="1"/>
    <row r="47" spans="1:10" ht="33.75" customHeight="1"/>
    <row r="48" spans="1:10" ht="33.75" customHeight="1"/>
    <row r="49" ht="33.75" customHeight="1"/>
    <row r="50" ht="33.75" customHeight="1"/>
    <row r="51" ht="33.75" customHeight="1"/>
    <row r="52" ht="33.75" customHeight="1"/>
    <row r="53" ht="33.75" customHeight="1"/>
    <row r="54" ht="33.75" customHeight="1"/>
    <row r="55" ht="33.75" customHeight="1"/>
    <row r="56" ht="33.75" customHeight="1"/>
    <row r="57" ht="33.75" customHeight="1"/>
    <row r="58" ht="33.7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sheetData>
  <mergeCells count="31">
    <mergeCell ref="C10:E10"/>
    <mergeCell ref="C11:E11"/>
    <mergeCell ref="A1:H1"/>
    <mergeCell ref="B8:E8"/>
    <mergeCell ref="B7:E7"/>
    <mergeCell ref="B6:E6"/>
    <mergeCell ref="C9:E9"/>
    <mergeCell ref="D3:G3"/>
    <mergeCell ref="B3:C3"/>
    <mergeCell ref="C12:G13"/>
    <mergeCell ref="C16:D16"/>
    <mergeCell ref="C17:D17"/>
    <mergeCell ref="C19:D19"/>
    <mergeCell ref="C20:D20"/>
    <mergeCell ref="C18:D18"/>
    <mergeCell ref="G19:G20"/>
    <mergeCell ref="C21:D21"/>
    <mergeCell ref="C22:D22"/>
    <mergeCell ref="C23:D23"/>
    <mergeCell ref="C24:D24"/>
    <mergeCell ref="C25:D25"/>
    <mergeCell ref="C26:D26"/>
    <mergeCell ref="C27:D27"/>
    <mergeCell ref="C28:D28"/>
    <mergeCell ref="C29:D29"/>
    <mergeCell ref="C30:D30"/>
    <mergeCell ref="F43:G43"/>
    <mergeCell ref="F42:G42"/>
    <mergeCell ref="F44:G44"/>
    <mergeCell ref="C31:D31"/>
    <mergeCell ref="B32:D32"/>
  </mergeCells>
  <phoneticPr fontId="1"/>
  <dataValidations count="2">
    <dataValidation type="list" allowBlank="1" showInputMessage="1" showErrorMessage="1" sqref="E31" xr:uid="{00000000-0002-0000-0000-000000000000}">
      <formula1>"　,該当,非該当"</formula1>
    </dataValidation>
    <dataValidation type="list" allowBlank="1" showInputMessage="1" showErrorMessage="1" sqref="E18:E30" xr:uid="{00000000-0002-0000-0000-000001000000}">
      <formula1>"　,あり,なし"</formula1>
    </dataValidation>
  </dataValidations>
  <pageMargins left="0.92" right="0.56000000000000005" top="0.75" bottom="0.37" header="0.3" footer="0.3"/>
  <pageSetup paperSize="9" scale="75"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M122"/>
  <sheetViews>
    <sheetView view="pageBreakPreview" zoomScale="70" zoomScaleNormal="70" zoomScaleSheetLayoutView="70" workbookViewId="0"/>
  </sheetViews>
  <sheetFormatPr defaultColWidth="9" defaultRowHeight="18.75"/>
  <cols>
    <col min="1" max="1" width="2.875" style="11" customWidth="1"/>
    <col min="2" max="2" width="3" style="9" customWidth="1"/>
    <col min="3" max="3" width="12.125" style="9" customWidth="1"/>
    <col min="4" max="4" width="20.625" style="9" customWidth="1"/>
    <col min="5" max="5" width="10" style="9" customWidth="1"/>
    <col min="6" max="6" width="10" style="10" customWidth="1"/>
    <col min="7" max="7" width="10.625" style="10" customWidth="1"/>
    <col min="8" max="8" width="13.125" style="10" customWidth="1"/>
    <col min="9" max="9" width="10.125" style="10" customWidth="1"/>
    <col min="10" max="12" width="10.125" style="11" customWidth="1"/>
    <col min="13" max="16384" width="9" style="11"/>
  </cols>
  <sheetData>
    <row r="1" spans="1:13" s="8" customFormat="1" ht="23.25" customHeight="1">
      <c r="A1" s="339" t="s">
        <v>128</v>
      </c>
      <c r="B1" s="6"/>
      <c r="C1" s="6"/>
      <c r="D1" s="6"/>
      <c r="E1" s="6"/>
      <c r="F1" s="7"/>
      <c r="G1" s="7"/>
      <c r="H1" s="7"/>
      <c r="I1" s="7"/>
    </row>
    <row r="2" spans="1:13" ht="19.5" customHeight="1" thickBot="1">
      <c r="A2" s="9"/>
    </row>
    <row r="3" spans="1:13" ht="19.5" customHeight="1" thickBot="1">
      <c r="A3" s="9"/>
      <c r="B3" s="656" t="s">
        <v>0</v>
      </c>
      <c r="C3" s="656"/>
      <c r="D3" s="653" t="s">
        <v>52</v>
      </c>
      <c r="E3" s="654"/>
      <c r="F3" s="654"/>
      <c r="G3" s="654"/>
      <c r="H3" s="655"/>
    </row>
    <row r="4" spans="1:13" ht="19.5" customHeight="1">
      <c r="A4" s="9"/>
      <c r="E4" s="12"/>
      <c r="F4" s="12"/>
      <c r="G4" s="12"/>
      <c r="H4" s="12"/>
    </row>
    <row r="5" spans="1:13" ht="19.5" customHeight="1" thickBot="1">
      <c r="A5" s="13" t="s">
        <v>2</v>
      </c>
      <c r="E5" s="12"/>
      <c r="F5" s="12"/>
      <c r="G5" s="12"/>
      <c r="H5" s="12"/>
    </row>
    <row r="6" spans="1:13" ht="19.5" customHeight="1" thickBot="1">
      <c r="A6" s="13"/>
      <c r="B6" s="17"/>
      <c r="C6" s="137"/>
      <c r="D6" s="137"/>
      <c r="E6" s="176" t="s">
        <v>53</v>
      </c>
      <c r="F6" s="174" t="s">
        <v>3</v>
      </c>
      <c r="G6" s="12"/>
      <c r="H6" s="12"/>
      <c r="I6" s="12"/>
      <c r="J6" s="174" t="s">
        <v>3</v>
      </c>
    </row>
    <row r="7" spans="1:13" ht="37.5" customHeight="1" thickBot="1">
      <c r="A7" s="13"/>
      <c r="B7" s="650" t="s">
        <v>54</v>
      </c>
      <c r="C7" s="632"/>
      <c r="D7" s="632"/>
      <c r="E7" s="216" t="s">
        <v>142</v>
      </c>
      <c r="F7" s="14" t="s">
        <v>55</v>
      </c>
      <c r="G7" s="12"/>
      <c r="H7" s="12"/>
      <c r="I7" s="12"/>
      <c r="J7" s="242" t="str">
        <f>IF(E7="あり","分園分を記入","入力不要")</f>
        <v>入力不要</v>
      </c>
      <c r="M7"/>
    </row>
    <row r="8" spans="1:13" ht="19.5" customHeight="1" thickBot="1">
      <c r="A8" s="13"/>
      <c r="B8" s="650" t="s">
        <v>4</v>
      </c>
      <c r="C8" s="632"/>
      <c r="D8" s="632"/>
      <c r="E8" s="632"/>
      <c r="F8" s="1">
        <v>100</v>
      </c>
      <c r="G8" s="12"/>
      <c r="H8" s="12"/>
      <c r="I8" s="12"/>
      <c r="J8" s="1">
        <v>20</v>
      </c>
    </row>
    <row r="9" spans="1:13" ht="19.5" customHeight="1" thickBot="1">
      <c r="A9" s="13"/>
      <c r="B9" s="648" t="s">
        <v>56</v>
      </c>
      <c r="C9" s="649"/>
      <c r="D9" s="649"/>
      <c r="E9" s="649"/>
      <c r="F9" s="165">
        <f>F10+F11+F12+F14</f>
        <v>120</v>
      </c>
      <c r="H9" s="12"/>
      <c r="I9" s="12"/>
      <c r="J9" s="165">
        <f>J10+J11+J12+J14</f>
        <v>20</v>
      </c>
    </row>
    <row r="10" spans="1:13" ht="19.5" customHeight="1">
      <c r="A10" s="13"/>
      <c r="B10" s="128"/>
      <c r="C10" s="642" t="s">
        <v>6</v>
      </c>
      <c r="D10" s="643"/>
      <c r="E10" s="129"/>
      <c r="F10" s="130">
        <v>40</v>
      </c>
      <c r="G10" s="12"/>
      <c r="H10" s="12"/>
      <c r="I10" s="12"/>
      <c r="J10" s="130">
        <v>5</v>
      </c>
    </row>
    <row r="11" spans="1:13" ht="19.5" customHeight="1">
      <c r="A11" s="13"/>
      <c r="B11" s="128"/>
      <c r="C11" s="642" t="s">
        <v>57</v>
      </c>
      <c r="D11" s="643"/>
      <c r="E11" s="129"/>
      <c r="F11" s="131">
        <v>30</v>
      </c>
      <c r="G11" s="12"/>
      <c r="H11" s="12"/>
      <c r="I11" s="12"/>
      <c r="J11" s="131">
        <v>5</v>
      </c>
    </row>
    <row r="12" spans="1:13" ht="19.149999999999999" customHeight="1">
      <c r="A12" s="13"/>
      <c r="B12" s="128"/>
      <c r="C12" s="643" t="s">
        <v>58</v>
      </c>
      <c r="D12" s="675"/>
      <c r="E12" s="129"/>
      <c r="F12" s="340">
        <v>40</v>
      </c>
      <c r="G12" s="12"/>
      <c r="H12" s="12"/>
      <c r="I12" s="12"/>
      <c r="J12" s="340">
        <v>5</v>
      </c>
    </row>
    <row r="13" spans="1:13" ht="19.149999999999999" customHeight="1">
      <c r="A13" s="13"/>
      <c r="B13" s="128"/>
      <c r="C13" s="666" t="s">
        <v>121</v>
      </c>
      <c r="D13" s="667"/>
      <c r="E13" s="316"/>
      <c r="F13" s="341">
        <v>30</v>
      </c>
      <c r="G13" s="12"/>
      <c r="H13" s="12"/>
      <c r="I13" s="12"/>
      <c r="J13" s="341">
        <v>2</v>
      </c>
    </row>
    <row r="14" spans="1:13" ht="19.149999999999999" customHeight="1" thickBot="1">
      <c r="A14" s="9"/>
      <c r="B14" s="91"/>
      <c r="C14" s="644" t="s">
        <v>59</v>
      </c>
      <c r="D14" s="645"/>
      <c r="E14" s="134"/>
      <c r="F14" s="135">
        <v>10</v>
      </c>
      <c r="G14" s="12"/>
      <c r="H14" s="12"/>
      <c r="J14" s="342">
        <v>5</v>
      </c>
    </row>
    <row r="15" spans="1:13" ht="42.75" customHeight="1">
      <c r="A15" s="9"/>
      <c r="B15" s="215" t="s">
        <v>9</v>
      </c>
      <c r="C15" s="629" t="s">
        <v>10</v>
      </c>
      <c r="D15" s="629"/>
      <c r="E15" s="629"/>
      <c r="F15" s="629"/>
      <c r="G15" s="629"/>
      <c r="H15" s="629"/>
      <c r="I15" s="629"/>
      <c r="J15" s="629"/>
      <c r="K15" s="629"/>
      <c r="L15" s="629"/>
    </row>
    <row r="16" spans="1:13" ht="19.5" customHeight="1">
      <c r="A16" s="9"/>
      <c r="B16" s="136"/>
      <c r="C16" s="262"/>
      <c r="D16" s="262"/>
      <c r="E16" s="262"/>
      <c r="F16" s="262"/>
      <c r="G16" s="262"/>
      <c r="H16" s="262"/>
    </row>
    <row r="17" spans="1:12" ht="19.5" customHeight="1" thickBot="1">
      <c r="A17" s="13" t="s">
        <v>11</v>
      </c>
    </row>
    <row r="18" spans="1:12" ht="19.5" customHeight="1" thickBot="1">
      <c r="A18" s="13"/>
      <c r="E18" s="658" t="s">
        <v>60</v>
      </c>
      <c r="F18" s="659"/>
      <c r="G18" s="659"/>
      <c r="H18" s="660"/>
      <c r="I18" s="661" t="str">
        <f>IF(E7="あり","分園分","選択不要")</f>
        <v>選択不要</v>
      </c>
      <c r="J18" s="662"/>
      <c r="K18" s="662"/>
      <c r="L18" s="663"/>
    </row>
    <row r="19" spans="1:12" ht="33" customHeight="1">
      <c r="B19" s="17"/>
      <c r="C19" s="137"/>
      <c r="D19" s="137"/>
      <c r="E19" s="244" t="s">
        <v>12</v>
      </c>
      <c r="F19" s="245"/>
      <c r="G19" s="673" t="s">
        <v>14</v>
      </c>
      <c r="H19" s="674"/>
      <c r="I19" s="217" t="s">
        <v>12</v>
      </c>
      <c r="J19" s="218"/>
      <c r="K19" s="664" t="s">
        <v>14</v>
      </c>
      <c r="L19" s="665"/>
    </row>
    <row r="20" spans="1:12" ht="19.5" customHeight="1">
      <c r="B20" s="20" t="s">
        <v>15</v>
      </c>
      <c r="C20" s="137" t="s">
        <v>61</v>
      </c>
      <c r="D20" s="177"/>
      <c r="E20" s="234"/>
      <c r="F20" s="178"/>
      <c r="G20" s="172"/>
      <c r="H20" s="189"/>
      <c r="I20" s="312"/>
      <c r="J20" s="313"/>
      <c r="K20" s="223"/>
      <c r="L20" s="224"/>
    </row>
    <row r="21" spans="1:12" ht="19.5" customHeight="1">
      <c r="B21" s="23"/>
      <c r="C21" s="142" t="s">
        <v>62</v>
      </c>
      <c r="D21" s="231"/>
      <c r="E21" s="235"/>
      <c r="F21" s="168">
        <f>F10</f>
        <v>40</v>
      </c>
      <c r="G21" s="62">
        <f>IF(E22="なし",F21/30,F21/25)</f>
        <v>1.6</v>
      </c>
      <c r="H21" s="109">
        <f>ROUNDDOWN(G21,1)</f>
        <v>1.6</v>
      </c>
      <c r="I21" s="142"/>
      <c r="J21" s="168">
        <f>IF(E7="あり",J10,0)</f>
        <v>0</v>
      </c>
      <c r="K21" s="108">
        <f>IF(I22="なし",J21/30,J21/25)</f>
        <v>0</v>
      </c>
      <c r="L21" s="109">
        <f>ROUNDDOWN(K21,1)</f>
        <v>0</v>
      </c>
    </row>
    <row r="22" spans="1:12" ht="19.5" customHeight="1">
      <c r="B22" s="23"/>
      <c r="C22" s="142" t="s">
        <v>117</v>
      </c>
      <c r="D22" s="231"/>
      <c r="E22" s="237" t="s">
        <v>18</v>
      </c>
      <c r="F22" s="311"/>
      <c r="G22" s="106"/>
      <c r="H22" s="107"/>
      <c r="I22" s="265" t="str">
        <f>E22</f>
        <v>あり</v>
      </c>
      <c r="J22" s="311"/>
      <c r="K22" s="106"/>
      <c r="L22" s="107"/>
    </row>
    <row r="23" spans="1:12" ht="19.5" customHeight="1">
      <c r="B23" s="23"/>
      <c r="C23" s="24" t="s">
        <v>63</v>
      </c>
      <c r="D23" s="232"/>
      <c r="E23" s="236"/>
      <c r="F23" s="167">
        <f>F11</f>
        <v>30</v>
      </c>
      <c r="G23" s="62">
        <f>IF(E24="なし",F23/20,F23/15)</f>
        <v>2</v>
      </c>
      <c r="H23" s="63">
        <f>ROUNDDOWN(G23,1)</f>
        <v>2</v>
      </c>
      <c r="I23" s="9"/>
      <c r="J23" s="168">
        <f>IF(E7="あり",J11,0)</f>
        <v>0</v>
      </c>
      <c r="K23" s="62">
        <f>IF(I24="なし",J23/20,J23/15)</f>
        <v>0</v>
      </c>
      <c r="L23" s="63">
        <f>ROUNDDOWN(K23,1)</f>
        <v>0</v>
      </c>
    </row>
    <row r="24" spans="1:12" ht="19.5" customHeight="1">
      <c r="B24" s="23"/>
      <c r="C24" s="24" t="s">
        <v>64</v>
      </c>
      <c r="D24" s="232"/>
      <c r="E24" s="237" t="s">
        <v>18</v>
      </c>
      <c r="F24" s="141"/>
      <c r="G24" s="170"/>
      <c r="H24" s="171"/>
      <c r="I24" s="265" t="str">
        <f>E24</f>
        <v>あり</v>
      </c>
      <c r="J24" s="141"/>
      <c r="K24" s="170"/>
      <c r="L24" s="171"/>
    </row>
    <row r="25" spans="1:12" ht="19.5" customHeight="1">
      <c r="B25" s="23"/>
      <c r="C25" s="24" t="s">
        <v>58</v>
      </c>
      <c r="D25" s="232"/>
      <c r="E25" s="238"/>
      <c r="F25" s="167">
        <f>F12</f>
        <v>40</v>
      </c>
      <c r="G25" s="62">
        <f>IF(E26="なし",F25*1/6,(F25-F13)*1/6+F13*1/5)</f>
        <v>7.666666666666667</v>
      </c>
      <c r="H25" s="63">
        <f>ROUNDDOWN(G25,1)</f>
        <v>7.6</v>
      </c>
      <c r="I25" s="24"/>
      <c r="J25" s="168">
        <f>IF(E7="あり",J12,0)</f>
        <v>0</v>
      </c>
      <c r="K25" s="357" t="str">
        <f>IF(OR(E7="なし",TRIM(E7)=""), "0.00", IF(I26="なし", J25*1/6, (J25-J13)*1/6 + J13*1/5))</f>
        <v>0.00</v>
      </c>
      <c r="L25" s="63">
        <f>ROUNDDOWN(K25,1)</f>
        <v>0</v>
      </c>
    </row>
    <row r="26" spans="1:12" ht="19.5" customHeight="1">
      <c r="B26" s="23"/>
      <c r="C26" s="343" t="s">
        <v>122</v>
      </c>
      <c r="D26" s="317"/>
      <c r="E26" s="344" t="s">
        <v>18</v>
      </c>
      <c r="F26" s="326"/>
      <c r="G26" s="327"/>
      <c r="H26" s="328"/>
      <c r="I26" s="265" t="str">
        <f>E26</f>
        <v>あり</v>
      </c>
      <c r="J26" s="329"/>
      <c r="K26" s="327"/>
      <c r="L26" s="328"/>
    </row>
    <row r="27" spans="1:12" ht="19.5" customHeight="1" thickBot="1">
      <c r="B27" s="23"/>
      <c r="C27" s="90" t="s">
        <v>59</v>
      </c>
      <c r="D27" s="233"/>
      <c r="E27" s="221"/>
      <c r="F27" s="169">
        <f>F14</f>
        <v>10</v>
      </c>
      <c r="G27" s="64">
        <f>F27*1/3</f>
        <v>3.3333333333333335</v>
      </c>
      <c r="H27" s="65">
        <f>ROUNDDOWN(G27,1)</f>
        <v>3.3</v>
      </c>
      <c r="I27" s="221"/>
      <c r="J27" s="169">
        <f>IF(E7="あり",J14,0)</f>
        <v>0</v>
      </c>
      <c r="K27" s="64">
        <f>J27*1/3</f>
        <v>0</v>
      </c>
      <c r="L27" s="65">
        <f>ROUNDDOWN(K27,1)</f>
        <v>0</v>
      </c>
    </row>
    <row r="28" spans="1:12" ht="19.5" customHeight="1" thickTop="1">
      <c r="B28" s="26"/>
      <c r="C28" s="91" t="s">
        <v>65</v>
      </c>
      <c r="D28" s="26"/>
      <c r="E28" s="239"/>
      <c r="F28" s="179"/>
      <c r="G28" s="66"/>
      <c r="H28" s="67">
        <f>ROUND(SUM(H21:H27),0)</f>
        <v>15</v>
      </c>
      <c r="J28" s="222"/>
      <c r="K28" s="66"/>
      <c r="L28" s="67">
        <f>ROUND(SUM(L21:L27),0)</f>
        <v>0</v>
      </c>
    </row>
    <row r="29" spans="1:12" ht="19.5" customHeight="1">
      <c r="B29" s="29" t="s">
        <v>20</v>
      </c>
      <c r="C29" s="144" t="s">
        <v>129</v>
      </c>
      <c r="D29" s="177"/>
      <c r="E29" s="240" t="s">
        <v>18</v>
      </c>
      <c r="F29" s="178"/>
      <c r="G29" s="68"/>
      <c r="H29" s="69">
        <f>IF(E29="あり",1.4,0)</f>
        <v>1.4</v>
      </c>
      <c r="I29" s="147" t="s">
        <v>18</v>
      </c>
      <c r="J29" s="178"/>
      <c r="K29" s="68"/>
      <c r="L29" s="69">
        <f>IF(E7="あり",IF(I29="あり",1.4,0),0)</f>
        <v>0</v>
      </c>
    </row>
    <row r="30" spans="1:12" ht="19.5" customHeight="1">
      <c r="B30" s="29" t="s">
        <v>22</v>
      </c>
      <c r="C30" s="144" t="s">
        <v>67</v>
      </c>
      <c r="D30" s="177"/>
      <c r="E30" s="240" t="s">
        <v>18</v>
      </c>
      <c r="F30" s="178"/>
      <c r="G30" s="68"/>
      <c r="H30" s="69">
        <f>IF(E30="あり",1,0)</f>
        <v>1</v>
      </c>
      <c r="I30" s="671" t="str">
        <f>IF($E$7="あり","本園分で選択","－")</f>
        <v>－</v>
      </c>
      <c r="J30" s="672"/>
      <c r="K30" s="223"/>
      <c r="L30" s="224"/>
    </row>
    <row r="31" spans="1:12" ht="19.5" customHeight="1">
      <c r="B31" s="29" t="s">
        <v>24</v>
      </c>
      <c r="C31" s="345" t="s">
        <v>130</v>
      </c>
      <c r="D31" s="177"/>
      <c r="E31" s="240" t="s">
        <v>18</v>
      </c>
      <c r="F31" s="178"/>
      <c r="G31" s="68"/>
      <c r="H31" s="69">
        <f>IF(E31="あり",0.3,0)</f>
        <v>0.3</v>
      </c>
      <c r="I31" s="671" t="str">
        <f t="shared" ref="I31:I34" si="0">IF($E$7="あり","本園分で選択","－")</f>
        <v>－</v>
      </c>
      <c r="J31" s="672"/>
      <c r="K31" s="223"/>
      <c r="L31" s="224"/>
    </row>
    <row r="32" spans="1:12" ht="19.5" customHeight="1" thickBot="1">
      <c r="B32" s="29" t="s">
        <v>26</v>
      </c>
      <c r="C32" s="144" t="s">
        <v>68</v>
      </c>
      <c r="D32" s="177"/>
      <c r="E32" s="240" t="s">
        <v>18</v>
      </c>
      <c r="F32" s="299"/>
      <c r="G32" s="68"/>
      <c r="H32" s="69">
        <f>IF(E32="あり",0.5,0)</f>
        <v>0.5</v>
      </c>
      <c r="I32" s="671" t="str">
        <f t="shared" si="0"/>
        <v>－</v>
      </c>
      <c r="J32" s="672"/>
      <c r="K32" s="223"/>
      <c r="L32" s="224"/>
    </row>
    <row r="33" spans="1:12" ht="19.5" customHeight="1" thickBot="1">
      <c r="B33" s="29" t="s">
        <v>28</v>
      </c>
      <c r="C33" s="144" t="s">
        <v>69</v>
      </c>
      <c r="D33" s="177"/>
      <c r="E33" s="254" t="s">
        <v>18</v>
      </c>
      <c r="F33" s="1">
        <v>2</v>
      </c>
      <c r="G33" s="68"/>
      <c r="H33" s="69">
        <f>IF(E33="あり",F33,0)</f>
        <v>2</v>
      </c>
      <c r="I33" s="671" t="str">
        <f t="shared" si="0"/>
        <v>－</v>
      </c>
      <c r="J33" s="672"/>
      <c r="K33" s="223"/>
      <c r="L33" s="224"/>
    </row>
    <row r="34" spans="1:12" ht="19.5" customHeight="1">
      <c r="B34" s="29" t="s">
        <v>70</v>
      </c>
      <c r="C34" s="632" t="s">
        <v>37</v>
      </c>
      <c r="D34" s="670"/>
      <c r="E34" s="240" t="s">
        <v>18</v>
      </c>
      <c r="F34" s="300"/>
      <c r="G34" s="68"/>
      <c r="H34" s="69">
        <f>IF(E34="あり",0.6,0)</f>
        <v>0.6</v>
      </c>
      <c r="I34" s="668" t="str">
        <f t="shared" si="0"/>
        <v>－</v>
      </c>
      <c r="J34" s="669"/>
      <c r="K34" s="272"/>
      <c r="L34" s="273"/>
    </row>
    <row r="35" spans="1:12" ht="19.5" customHeight="1" thickBot="1">
      <c r="B35" s="180" t="s">
        <v>71</v>
      </c>
      <c r="C35" s="181"/>
      <c r="D35" s="181"/>
      <c r="E35" s="241"/>
      <c r="F35" s="182"/>
      <c r="G35" s="190"/>
      <c r="H35" s="191">
        <f>IF(F8&lt;=40,1.5,IF(F8&lt;=90,2.5,IF(F8&lt;=150,2.3,IF(F8&gt;=151,3.3,0))))</f>
        <v>2.2999999999999998</v>
      </c>
      <c r="I35" s="225"/>
      <c r="J35" s="226"/>
      <c r="K35" s="227"/>
      <c r="L35" s="72">
        <f>IF(E7="あり",IF(J8&lt;=40,1.5,IF(J8&lt;=90,2.5,IF(J8&lt;=150,2.3,IF(J8&gt;=151,3.3,0)))),0)</f>
        <v>0</v>
      </c>
    </row>
    <row r="36" spans="1:12" ht="19.5" customHeight="1" thickTop="1" thickBot="1">
      <c r="B36" s="36" t="s">
        <v>42</v>
      </c>
      <c r="C36" s="41"/>
      <c r="D36" s="41"/>
      <c r="E36" s="236"/>
      <c r="F36" s="183"/>
      <c r="G36" s="73"/>
      <c r="H36" s="74">
        <f>SUM(H35,H28,H29:H34)</f>
        <v>23.1</v>
      </c>
      <c r="J36" s="220"/>
      <c r="K36" s="219"/>
      <c r="L36" s="74">
        <f>SUM(L28,L29,,L35)</f>
        <v>0</v>
      </c>
    </row>
    <row r="37" spans="1:12" ht="19.5" customHeight="1" thickBot="1">
      <c r="B37" s="38" t="s">
        <v>43</v>
      </c>
      <c r="C37" s="184"/>
      <c r="D37" s="184"/>
      <c r="E37" s="209"/>
      <c r="F37" s="185"/>
      <c r="G37" s="75"/>
      <c r="H37" s="192">
        <f>ROUND(H36,0)</f>
        <v>23</v>
      </c>
      <c r="I37" s="228"/>
      <c r="J37" s="229"/>
      <c r="K37" s="230"/>
      <c r="L37" s="192">
        <f>ROUND(L36,0)</f>
        <v>0</v>
      </c>
    </row>
    <row r="38" spans="1:12" ht="19.5" customHeight="1">
      <c r="B38" s="41"/>
      <c r="C38" s="41"/>
      <c r="D38" s="41"/>
      <c r="H38" s="42"/>
      <c r="I38" s="43"/>
    </row>
    <row r="39" spans="1:12" ht="19.5" customHeight="1" thickBot="1">
      <c r="A39" s="295" t="s">
        <v>127</v>
      </c>
      <c r="G39" s="44"/>
      <c r="H39" s="333" t="s">
        <v>124</v>
      </c>
      <c r="I39" s="334" t="s">
        <v>123</v>
      </c>
    </row>
    <row r="40" spans="1:12" ht="19.5" customHeight="1" thickBot="1">
      <c r="B40" s="49" t="s">
        <v>46</v>
      </c>
      <c r="C40" s="46"/>
      <c r="D40" s="46"/>
      <c r="E40" s="39"/>
      <c r="F40" s="305"/>
      <c r="G40" s="303">
        <f>(H37+L37)/3</f>
        <v>7.666666666666667</v>
      </c>
      <c r="H40" s="301">
        <f>IF(ROUND(G40,0)=0,1,ROUND(G40,0))</f>
        <v>8</v>
      </c>
      <c r="I40" s="292">
        <v>5</v>
      </c>
    </row>
    <row r="41" spans="1:12" ht="19.5" customHeight="1" thickBot="1">
      <c r="B41" s="48" t="s">
        <v>47</v>
      </c>
      <c r="C41" s="287"/>
      <c r="D41" s="287"/>
      <c r="E41" s="288"/>
      <c r="F41" s="306"/>
      <c r="G41" s="304">
        <f>(H37+L37)/5</f>
        <v>4.5999999999999996</v>
      </c>
      <c r="H41" s="302">
        <f>IF(ROUND(G41,0)=0,1,ROUND(G41,0))</f>
        <v>5</v>
      </c>
      <c r="I41" s="292">
        <v>5</v>
      </c>
    </row>
    <row r="42" spans="1:12" ht="19.5" customHeight="1">
      <c r="H42" s="43"/>
    </row>
    <row r="43" spans="1:12" ht="19.5" customHeight="1" thickBot="1">
      <c r="A43" s="13" t="s">
        <v>48</v>
      </c>
    </row>
    <row r="44" spans="1:12" ht="19.5" customHeight="1" thickBot="1">
      <c r="B44" s="49"/>
      <c r="C44" s="346">
        <v>49020</v>
      </c>
      <c r="D44" s="46" t="s">
        <v>72</v>
      </c>
      <c r="E44" s="39"/>
      <c r="F44" s="186"/>
      <c r="G44" s="99"/>
      <c r="H44" s="337">
        <f>IF(I40="","実人数を入力してください",IF(ISBLANK(I40),C44*H40,IF(H40&lt;I40,C44*H40,C44*I40)))</f>
        <v>245100</v>
      </c>
    </row>
    <row r="45" spans="1:12" ht="19.5" customHeight="1" thickBot="1">
      <c r="B45" s="52"/>
      <c r="C45" s="53">
        <v>6130</v>
      </c>
      <c r="D45" s="54" t="s">
        <v>73</v>
      </c>
      <c r="E45" s="100"/>
      <c r="F45" s="187"/>
      <c r="G45" s="101"/>
      <c r="H45" s="338">
        <f>IF(I41="","実人数を入力してください",IF(ISBLANK(I41),C45*H41,IF(H41&lt;I41,C45*H41,C45*I41)))</f>
        <v>30650</v>
      </c>
    </row>
    <row r="46" spans="1:12" ht="19.5" customHeight="1" thickTop="1" thickBot="1">
      <c r="B46" s="56"/>
      <c r="C46" s="188" t="s">
        <v>74</v>
      </c>
      <c r="D46" s="58"/>
      <c r="E46" s="58"/>
      <c r="F46" s="59"/>
      <c r="G46" s="59"/>
      <c r="H46" s="318">
        <f>SUM(H44:H45)</f>
        <v>275750</v>
      </c>
    </row>
    <row r="47" spans="1:12" ht="19.5" customHeight="1"/>
    <row r="48" spans="1:12" ht="19.5" customHeight="1"/>
    <row r="49" ht="19.5" customHeight="1"/>
    <row r="50" ht="19.5" customHeight="1"/>
    <row r="51" ht="33.75" customHeight="1"/>
    <row r="52" ht="33.75" customHeight="1"/>
    <row r="53" ht="33.75" customHeight="1"/>
    <row r="54" ht="33.75" customHeight="1"/>
    <row r="55" ht="33.75" customHeight="1"/>
    <row r="56" ht="33.75" customHeight="1"/>
    <row r="57" ht="33.75" customHeight="1"/>
    <row r="58" ht="33.75" customHeight="1"/>
    <row r="59" ht="33.75" customHeight="1"/>
    <row r="60" ht="33.75" customHeight="1"/>
    <row r="61" ht="33.7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sheetData>
  <mergeCells count="21">
    <mergeCell ref="B3:C3"/>
    <mergeCell ref="D3:H3"/>
    <mergeCell ref="I34:J34"/>
    <mergeCell ref="C34:D34"/>
    <mergeCell ref="I30:J30"/>
    <mergeCell ref="I31:J31"/>
    <mergeCell ref="I32:J32"/>
    <mergeCell ref="B9:E9"/>
    <mergeCell ref="I33:J33"/>
    <mergeCell ref="B8:E8"/>
    <mergeCell ref="G19:H19"/>
    <mergeCell ref="C14:D14"/>
    <mergeCell ref="C12:D12"/>
    <mergeCell ref="C11:D11"/>
    <mergeCell ref="C10:D10"/>
    <mergeCell ref="B7:D7"/>
    <mergeCell ref="E18:H18"/>
    <mergeCell ref="C15:L15"/>
    <mergeCell ref="I18:L18"/>
    <mergeCell ref="K19:L19"/>
    <mergeCell ref="C13:D13"/>
  </mergeCells>
  <phoneticPr fontId="1"/>
  <dataValidations disablePrompts="1" count="1">
    <dataValidation type="list" allowBlank="1" showInputMessage="1" showErrorMessage="1" sqref="I29 E24 E7 E29:E34 E22 E26" xr:uid="{00000000-0002-0000-0100-000000000000}">
      <formula1>"　,あり,なし"</formula1>
    </dataValidation>
  </dataValidations>
  <pageMargins left="0.92" right="0.56000000000000005" top="0.75" bottom="0.37" header="0.3" footer="0.3"/>
  <pageSetup paperSize="9" scale="64"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L131"/>
  <sheetViews>
    <sheetView view="pageBreakPreview" zoomScale="70" zoomScaleNormal="70" zoomScaleSheetLayoutView="70" workbookViewId="0"/>
  </sheetViews>
  <sheetFormatPr defaultColWidth="9" defaultRowHeight="18.75"/>
  <cols>
    <col min="1" max="1" width="2.875" style="11" customWidth="1"/>
    <col min="2" max="2" width="3" style="9" customWidth="1"/>
    <col min="3" max="3" width="14.75" style="9" customWidth="1"/>
    <col min="4" max="4" width="28.25" style="9" customWidth="1"/>
    <col min="5" max="6" width="10" style="10" customWidth="1"/>
    <col min="7" max="7" width="12.125" style="10" customWidth="1"/>
    <col min="8" max="8" width="13.125" style="10" customWidth="1"/>
    <col min="9" max="9" width="10" style="125" customWidth="1"/>
    <col min="10" max="10" width="10" style="11" customWidth="1"/>
    <col min="11" max="11" width="11" style="11" bestFit="1" customWidth="1"/>
    <col min="12" max="12" width="13.125" style="11" customWidth="1"/>
    <col min="13" max="16384" width="9" style="11"/>
  </cols>
  <sheetData>
    <row r="1" spans="1:10" s="8" customFormat="1" ht="31.5" customHeight="1">
      <c r="A1" s="347" t="s">
        <v>131</v>
      </c>
      <c r="B1" s="6"/>
      <c r="C1" s="6"/>
      <c r="D1" s="6"/>
      <c r="E1" s="7"/>
      <c r="F1" s="7"/>
      <c r="G1" s="7"/>
      <c r="H1" s="7"/>
      <c r="I1" s="125"/>
    </row>
    <row r="2" spans="1:10" s="8" customFormat="1" ht="18.75" customHeight="1" thickBot="1">
      <c r="A2" s="5"/>
      <c r="B2" s="6"/>
      <c r="C2" s="6"/>
      <c r="D2" s="6"/>
      <c r="E2" s="7"/>
      <c r="F2" s="7"/>
      <c r="G2" s="7"/>
      <c r="H2" s="7"/>
      <c r="I2" s="125"/>
    </row>
    <row r="3" spans="1:10" ht="19.5" customHeight="1" thickBot="1">
      <c r="A3" s="9"/>
      <c r="B3" s="656" t="s">
        <v>0</v>
      </c>
      <c r="C3" s="657"/>
      <c r="D3" s="653" t="s">
        <v>75</v>
      </c>
      <c r="E3" s="654"/>
      <c r="F3" s="654"/>
      <c r="G3" s="654"/>
      <c r="H3" s="655"/>
    </row>
    <row r="4" spans="1:10" ht="19.5" customHeight="1">
      <c r="A4" s="9"/>
      <c r="C4" s="12"/>
      <c r="D4" s="12"/>
      <c r="E4" s="12"/>
      <c r="F4" s="12"/>
      <c r="G4" s="12"/>
    </row>
    <row r="5" spans="1:10" ht="19.5" customHeight="1" thickBot="1">
      <c r="A5" s="13" t="s">
        <v>2</v>
      </c>
      <c r="E5" s="12"/>
      <c r="F5" s="12"/>
      <c r="G5" s="12"/>
    </row>
    <row r="6" spans="1:10" ht="33" customHeight="1" thickBot="1">
      <c r="A6" s="13"/>
      <c r="B6" s="651"/>
      <c r="C6" s="652"/>
      <c r="D6" s="652"/>
      <c r="E6" s="175" t="s">
        <v>12</v>
      </c>
      <c r="F6" s="126" t="s">
        <v>13</v>
      </c>
      <c r="G6" s="12"/>
      <c r="J6" s="126" t="s">
        <v>13</v>
      </c>
    </row>
    <row r="7" spans="1:10" ht="37.5" customHeight="1" thickBot="1">
      <c r="A7" s="13"/>
      <c r="B7" s="650" t="s">
        <v>54</v>
      </c>
      <c r="C7" s="632"/>
      <c r="D7" s="632"/>
      <c r="E7" s="243" t="s">
        <v>111</v>
      </c>
      <c r="F7" s="126" t="s">
        <v>55</v>
      </c>
      <c r="G7" s="12"/>
      <c r="J7" s="242" t="str">
        <f>IF(E7="あり","分園分を記入","入力不要")</f>
        <v>入力不要</v>
      </c>
    </row>
    <row r="8" spans="1:10" ht="19.5" customHeight="1" thickBot="1">
      <c r="A8" s="13"/>
      <c r="B8" s="650" t="s">
        <v>4</v>
      </c>
      <c r="C8" s="632"/>
      <c r="D8" s="632"/>
      <c r="E8" s="632"/>
      <c r="F8" s="164">
        <f>F9+F10</f>
        <v>290</v>
      </c>
      <c r="G8" s="12"/>
      <c r="J8" s="164">
        <f>J9+J10</f>
        <v>90</v>
      </c>
    </row>
    <row r="9" spans="1:10" ht="19.5" customHeight="1" thickBot="1">
      <c r="A9" s="13"/>
      <c r="B9" s="127"/>
      <c r="C9" s="632" t="s">
        <v>76</v>
      </c>
      <c r="D9" s="632"/>
      <c r="E9" s="632"/>
      <c r="F9" s="1">
        <v>200</v>
      </c>
      <c r="G9" s="12"/>
      <c r="J9" s="1">
        <v>50</v>
      </c>
    </row>
    <row r="10" spans="1:10" ht="19.5" customHeight="1" thickBot="1">
      <c r="A10" s="13"/>
      <c r="B10" s="127"/>
      <c r="C10" s="632" t="s">
        <v>77</v>
      </c>
      <c r="D10" s="632"/>
      <c r="E10" s="632"/>
      <c r="F10" s="1">
        <v>90</v>
      </c>
      <c r="G10" s="12"/>
      <c r="J10" s="1">
        <v>40</v>
      </c>
    </row>
    <row r="11" spans="1:10" ht="19.5" customHeight="1" thickBot="1">
      <c r="A11" s="13"/>
      <c r="B11" s="648" t="s">
        <v>56</v>
      </c>
      <c r="C11" s="649"/>
      <c r="D11" s="649"/>
      <c r="E11" s="649"/>
      <c r="F11" s="165">
        <f>F12+F13+F15+F17</f>
        <v>105</v>
      </c>
      <c r="G11" s="12"/>
      <c r="J11" s="165">
        <f>J12+J13+J15+J17</f>
        <v>90</v>
      </c>
    </row>
    <row r="12" spans="1:10" ht="19.5" customHeight="1">
      <c r="A12" s="13"/>
      <c r="B12" s="128"/>
      <c r="C12" s="642" t="s">
        <v>6</v>
      </c>
      <c r="D12" s="643"/>
      <c r="E12" s="129"/>
      <c r="F12" s="130">
        <v>40</v>
      </c>
      <c r="G12" s="12"/>
      <c r="J12" s="130">
        <v>40</v>
      </c>
    </row>
    <row r="13" spans="1:10" ht="19.5" customHeight="1">
      <c r="A13" s="13"/>
      <c r="B13" s="128"/>
      <c r="C13" s="642" t="s">
        <v>57</v>
      </c>
      <c r="D13" s="643"/>
      <c r="E13" s="129"/>
      <c r="F13" s="131">
        <v>35</v>
      </c>
      <c r="G13" s="12"/>
      <c r="J13" s="131">
        <v>30</v>
      </c>
    </row>
    <row r="14" spans="1:10" ht="19.5" customHeight="1">
      <c r="A14" s="13"/>
      <c r="B14" s="128"/>
      <c r="C14" s="132" t="s">
        <v>78</v>
      </c>
      <c r="D14" s="133"/>
      <c r="E14" s="129"/>
      <c r="F14" s="131">
        <v>10</v>
      </c>
      <c r="G14" s="12"/>
      <c r="J14" s="131">
        <v>10</v>
      </c>
    </row>
    <row r="15" spans="1:10" ht="19.5" customHeight="1">
      <c r="A15" s="13"/>
      <c r="B15" s="128"/>
      <c r="C15" s="666" t="s">
        <v>58</v>
      </c>
      <c r="D15" s="667"/>
      <c r="E15" s="129"/>
      <c r="F15" s="340">
        <v>20</v>
      </c>
      <c r="G15" s="319"/>
      <c r="J15" s="340">
        <v>10</v>
      </c>
    </row>
    <row r="16" spans="1:10" ht="19.5" customHeight="1">
      <c r="A16" s="13"/>
      <c r="B16" s="128"/>
      <c r="C16" s="666" t="s">
        <v>121</v>
      </c>
      <c r="D16" s="667"/>
      <c r="E16" s="316"/>
      <c r="F16" s="341">
        <v>5</v>
      </c>
      <c r="G16" s="12"/>
      <c r="J16" s="341">
        <v>5</v>
      </c>
    </row>
    <row r="17" spans="1:12" ht="19.5" customHeight="1" thickBot="1">
      <c r="A17" s="9"/>
      <c r="B17" s="91"/>
      <c r="C17" s="644" t="s">
        <v>59</v>
      </c>
      <c r="D17" s="645"/>
      <c r="E17" s="134"/>
      <c r="F17" s="135">
        <v>10</v>
      </c>
      <c r="G17" s="12"/>
      <c r="J17" s="135">
        <v>10</v>
      </c>
    </row>
    <row r="18" spans="1:12" ht="32.25" customHeight="1">
      <c r="A18" s="9"/>
      <c r="B18" s="262" t="s">
        <v>9</v>
      </c>
      <c r="C18" s="629" t="s">
        <v>10</v>
      </c>
      <c r="D18" s="629"/>
      <c r="E18" s="629"/>
      <c r="F18" s="629"/>
      <c r="G18" s="629"/>
      <c r="H18" s="629"/>
      <c r="I18" s="629"/>
      <c r="J18" s="629"/>
      <c r="K18" s="629"/>
      <c r="L18" s="629"/>
    </row>
    <row r="19" spans="1:12" ht="19.5" customHeight="1">
      <c r="A19" s="9"/>
      <c r="B19" s="136"/>
      <c r="C19" s="263"/>
      <c r="D19" s="263"/>
      <c r="E19" s="263"/>
      <c r="F19" s="263"/>
      <c r="G19" s="263"/>
      <c r="H19" s="263"/>
    </row>
    <row r="20" spans="1:12" ht="19.5" customHeight="1" thickBot="1">
      <c r="A20" s="13" t="s">
        <v>79</v>
      </c>
    </row>
    <row r="21" spans="1:12" ht="19.5" customHeight="1" thickBot="1">
      <c r="A21" s="13"/>
      <c r="E21" s="680" t="s">
        <v>60</v>
      </c>
      <c r="F21" s="681"/>
      <c r="G21" s="681"/>
      <c r="H21" s="682"/>
      <c r="I21" s="661" t="s">
        <v>119</v>
      </c>
      <c r="J21" s="662"/>
      <c r="K21" s="662"/>
      <c r="L21" s="663"/>
    </row>
    <row r="22" spans="1:12" ht="31.5" customHeight="1">
      <c r="B22" s="17"/>
      <c r="C22" s="137"/>
      <c r="D22" s="137"/>
      <c r="E22" s="256" t="s">
        <v>12</v>
      </c>
      <c r="F22" s="257" t="s">
        <v>13</v>
      </c>
      <c r="G22" s="664" t="s">
        <v>14</v>
      </c>
      <c r="H22" s="679"/>
      <c r="I22" s="258" t="s">
        <v>12</v>
      </c>
      <c r="J22" s="257" t="s">
        <v>13</v>
      </c>
      <c r="K22" s="664" t="s">
        <v>14</v>
      </c>
      <c r="L22" s="679"/>
    </row>
    <row r="23" spans="1:12" ht="17.25" customHeight="1">
      <c r="B23" s="20" t="s">
        <v>15</v>
      </c>
      <c r="C23" s="85" t="s">
        <v>61</v>
      </c>
      <c r="D23" s="85"/>
      <c r="E23" s="249"/>
      <c r="F23" s="22"/>
      <c r="G23" s="60"/>
      <c r="H23" s="61"/>
      <c r="I23" s="21"/>
      <c r="J23" s="22"/>
      <c r="K23" s="60"/>
      <c r="L23" s="61"/>
    </row>
    <row r="24" spans="1:12" ht="17.25" customHeight="1">
      <c r="B24" s="23"/>
      <c r="C24" s="138" t="s">
        <v>62</v>
      </c>
      <c r="D24" s="246"/>
      <c r="E24" s="250"/>
      <c r="F24" s="166">
        <f>F12</f>
        <v>40</v>
      </c>
      <c r="G24" s="102">
        <f>IF($E$25="あり",ROUNDDOWN($F$12*1/25,1),ROUNDDOWN($F$12*1/30,1))</f>
        <v>1.6</v>
      </c>
      <c r="H24" s="103">
        <f>ROUNDDOWN(G24,1)</f>
        <v>1.6</v>
      </c>
      <c r="I24" s="138"/>
      <c r="J24" s="166">
        <f>IF(E7="あり",J12,0)</f>
        <v>0</v>
      </c>
      <c r="K24" s="102">
        <f>IF($E$7="あり",IF(I25="あり",ROUNDDOWN($J$12*1/25,1),ROUNDDOWN($F$12*1/30,1)),0)</f>
        <v>0</v>
      </c>
      <c r="L24" s="103">
        <f>ROUNDDOWN(K24,1)</f>
        <v>0</v>
      </c>
    </row>
    <row r="25" spans="1:12" ht="17.25" customHeight="1">
      <c r="B25" s="23"/>
      <c r="C25" s="140" t="s">
        <v>118</v>
      </c>
      <c r="D25" s="129"/>
      <c r="E25" s="237" t="s">
        <v>18</v>
      </c>
      <c r="F25" s="141"/>
      <c r="G25" s="170"/>
      <c r="H25" s="171"/>
      <c r="I25" s="265" t="str">
        <f>E25</f>
        <v>あり</v>
      </c>
      <c r="J25" s="141"/>
      <c r="K25" s="170"/>
      <c r="L25" s="171"/>
    </row>
    <row r="26" spans="1:12" ht="17.25" customHeight="1">
      <c r="B26" s="23"/>
      <c r="C26" s="24" t="s">
        <v>80</v>
      </c>
      <c r="D26" s="129"/>
      <c r="E26" s="251"/>
      <c r="F26" s="167">
        <f>F13</f>
        <v>35</v>
      </c>
      <c r="G26" s="62">
        <f>IF($E$27="あり",IF($E$28="あり",ROUNDDOWN(($F$13-$F$14)*1/15,1)+ROUNDDOWN($F$14*1/6,1),ROUNDDOWN($F$13*1/15,1)),IF($E$28="あり",ROUNDDOWN(($F$13-$F$14)*1/20,1)+ROUNDDOWN($F$14*1/6,1),ROUNDDOWN($F$13*1/20,1)))</f>
        <v>3.2</v>
      </c>
      <c r="H26" s="63">
        <f>ROUNDDOWN(G26,1)</f>
        <v>3.2</v>
      </c>
      <c r="I26" s="139"/>
      <c r="J26" s="168">
        <f>IF(E$7="あり",J13,0)</f>
        <v>0</v>
      </c>
      <c r="K26" s="62">
        <f>IF(E7="あり",IF($I$27="あり",IF($I$28="あり",ROUNDDOWN(($J$13-$J$14)*1/15,1)+ROUNDDOWN($J$14*1/6,1),ROUNDDOWN($J$13*1/15,1)),IF($I$28="あり",ROUNDDOWN(($J$13-$J$14)*1/20,1)+ROUNDDOWN($J$14*1/6,1),ROUNDDOWN($J$13*1/20,1))),0)</f>
        <v>0</v>
      </c>
      <c r="L26" s="63">
        <f>ROUNDDOWN(K26,1)</f>
        <v>0</v>
      </c>
    </row>
    <row r="27" spans="1:12" ht="17.25" customHeight="1">
      <c r="B27" s="23"/>
      <c r="C27" s="140" t="s">
        <v>81</v>
      </c>
      <c r="D27" s="129"/>
      <c r="E27" s="237" t="s">
        <v>18</v>
      </c>
      <c r="F27" s="141"/>
      <c r="G27" s="170"/>
      <c r="H27" s="171"/>
      <c r="I27" s="265" t="str">
        <f>E27</f>
        <v>あり</v>
      </c>
      <c r="J27" s="141"/>
      <c r="K27" s="170"/>
      <c r="L27" s="171"/>
    </row>
    <row r="28" spans="1:12" ht="17.25" customHeight="1">
      <c r="B28" s="23"/>
      <c r="C28" s="140" t="s">
        <v>82</v>
      </c>
      <c r="D28" s="129"/>
      <c r="E28" s="237" t="s">
        <v>18</v>
      </c>
      <c r="F28" s="141"/>
      <c r="G28" s="170"/>
      <c r="H28" s="171"/>
      <c r="I28" s="265" t="str">
        <f>E28</f>
        <v>あり</v>
      </c>
      <c r="J28" s="141"/>
      <c r="K28" s="170"/>
      <c r="L28" s="171"/>
    </row>
    <row r="29" spans="1:12" ht="17.25" customHeight="1">
      <c r="B29" s="23"/>
      <c r="C29" s="142" t="s">
        <v>58</v>
      </c>
      <c r="D29" s="247"/>
      <c r="E29" s="235"/>
      <c r="F29" s="168">
        <f>F15</f>
        <v>20</v>
      </c>
      <c r="G29" s="108">
        <f>IF(E30="なし",F29*1/6,(F29-F16)*1/6+F16*1/5)</f>
        <v>3.5</v>
      </c>
      <c r="H29" s="109">
        <f>ROUNDDOWN(G29,1)</f>
        <v>3.5</v>
      </c>
      <c r="I29" s="235"/>
      <c r="J29" s="167">
        <f>IF(E$7="あり",J15,0)</f>
        <v>0</v>
      </c>
      <c r="K29" s="358" t="str">
        <f>IF(OR(E7="なし",TRIM(E7)=""),"0.00",IF(I30="なし",J29*1/6,(J29-J16)*1/6+J16*1/5))</f>
        <v>0.00</v>
      </c>
      <c r="L29" s="109">
        <f>ROUNDDOWN(K29,1)</f>
        <v>0</v>
      </c>
    </row>
    <row r="30" spans="1:12" ht="17.25" customHeight="1">
      <c r="B30" s="23"/>
      <c r="C30" s="348" t="s">
        <v>120</v>
      </c>
      <c r="E30" s="344" t="s">
        <v>18</v>
      </c>
      <c r="F30" s="329"/>
      <c r="G30" s="115"/>
      <c r="H30" s="330"/>
      <c r="I30" s="349" t="str">
        <f>E30</f>
        <v>あり</v>
      </c>
      <c r="J30" s="141"/>
      <c r="K30" s="170"/>
      <c r="L30" s="171"/>
    </row>
    <row r="31" spans="1:12" ht="17.25" customHeight="1" thickBot="1">
      <c r="B31" s="23"/>
      <c r="C31" s="90" t="s">
        <v>59</v>
      </c>
      <c r="D31" s="248"/>
      <c r="E31" s="221"/>
      <c r="F31" s="169">
        <f>F17</f>
        <v>10</v>
      </c>
      <c r="G31" s="64">
        <f>F31*1/3</f>
        <v>3.3333333333333335</v>
      </c>
      <c r="H31" s="65">
        <f>ROUNDDOWN(G31,1)</f>
        <v>3.3</v>
      </c>
      <c r="I31" s="221"/>
      <c r="J31" s="314">
        <f>IF(E$7="あり",J17,0)</f>
        <v>0</v>
      </c>
      <c r="K31" s="64">
        <f>J31*1/3</f>
        <v>0</v>
      </c>
      <c r="L31" s="65">
        <f>ROUNDDOWN(K31,1)</f>
        <v>0</v>
      </c>
    </row>
    <row r="32" spans="1:12" ht="17.25" customHeight="1" thickTop="1">
      <c r="B32" s="26"/>
      <c r="C32" s="91" t="s">
        <v>65</v>
      </c>
      <c r="D32" s="143"/>
      <c r="E32" s="252"/>
      <c r="F32" s="28"/>
      <c r="G32" s="66"/>
      <c r="H32" s="67">
        <f>ROUND(SUM(H24:H31),0)</f>
        <v>12</v>
      </c>
      <c r="I32" s="259"/>
      <c r="J32" s="28"/>
      <c r="K32" s="66"/>
      <c r="L32" s="67">
        <f>ROUND(SUM(L24:L31),0)</f>
        <v>0</v>
      </c>
    </row>
    <row r="33" spans="2:12" ht="17.25" customHeight="1">
      <c r="B33" s="31" t="s">
        <v>83</v>
      </c>
      <c r="C33" s="144" t="s">
        <v>84</v>
      </c>
      <c r="D33" s="144"/>
      <c r="E33" s="253"/>
      <c r="F33" s="30"/>
      <c r="G33" s="68"/>
      <c r="H33" s="69">
        <f>IF(F10&lt;=90,1,0.8)</f>
        <v>1</v>
      </c>
      <c r="I33" s="145"/>
      <c r="J33" s="30"/>
      <c r="K33" s="68"/>
      <c r="L33" s="69">
        <f>IF(E7="あり",IF(J10&lt;=90,1,0.8),0)</f>
        <v>0</v>
      </c>
    </row>
    <row r="34" spans="2:12" ht="17.25" customHeight="1">
      <c r="B34" s="31" t="s">
        <v>22</v>
      </c>
      <c r="C34" s="144" t="s">
        <v>85</v>
      </c>
      <c r="D34" s="144"/>
      <c r="E34" s="253"/>
      <c r="F34" s="30"/>
      <c r="G34" s="68"/>
      <c r="H34" s="69">
        <f>IF(F10&lt;=40,1,(IF(F10&lt;=150,2,3)))</f>
        <v>2</v>
      </c>
      <c r="I34" s="145"/>
      <c r="J34" s="30"/>
      <c r="K34" s="68"/>
      <c r="L34" s="69">
        <f>IF(E7="あり",IF(J10&lt;=40,1,(IF(J10&lt;=150,2,3))),0)</f>
        <v>0</v>
      </c>
    </row>
    <row r="35" spans="2:12" ht="17.25" customHeight="1">
      <c r="B35" s="31" t="s">
        <v>86</v>
      </c>
      <c r="C35" s="144" t="s">
        <v>66</v>
      </c>
      <c r="D35" s="144"/>
      <c r="E35" s="240" t="s">
        <v>18</v>
      </c>
      <c r="F35" s="30"/>
      <c r="G35" s="68"/>
      <c r="H35" s="69">
        <f>IF(E35="あり",1.4,0)</f>
        <v>1.4</v>
      </c>
      <c r="I35" s="254" t="s">
        <v>18</v>
      </c>
      <c r="J35" s="264"/>
      <c r="K35" s="68"/>
      <c r="L35" s="69">
        <f>IF(E7="あり",IF(I35="あり",1.4,0),0)</f>
        <v>0</v>
      </c>
    </row>
    <row r="36" spans="2:12" ht="17.25" customHeight="1">
      <c r="B36" s="31" t="s">
        <v>87</v>
      </c>
      <c r="C36" s="144" t="s">
        <v>88</v>
      </c>
      <c r="D36" s="144"/>
      <c r="E36" s="267" t="s">
        <v>18</v>
      </c>
      <c r="F36" s="146"/>
      <c r="G36" s="68"/>
      <c r="H36" s="69">
        <f>IF(E36="あり",1,0)</f>
        <v>1</v>
      </c>
      <c r="I36" s="671" t="str">
        <f>IF($E$7="あり","本園分で選択","－")</f>
        <v>－</v>
      </c>
      <c r="J36" s="672"/>
      <c r="K36" s="68"/>
      <c r="L36" s="260"/>
    </row>
    <row r="37" spans="2:12" ht="17.25" customHeight="1" thickBot="1">
      <c r="B37" s="31" t="s">
        <v>89</v>
      </c>
      <c r="C37" s="144" t="s">
        <v>21</v>
      </c>
      <c r="D37" s="144"/>
      <c r="E37" s="240" t="s">
        <v>18</v>
      </c>
      <c r="F37" s="266"/>
      <c r="G37" s="68"/>
      <c r="H37" s="69">
        <f>IF(E37="あり",0.8,0)</f>
        <v>0.8</v>
      </c>
      <c r="I37" s="671" t="str">
        <f>IF($E$7="あり","本園分で選択","－")</f>
        <v>－</v>
      </c>
      <c r="J37" s="672"/>
      <c r="K37" s="68"/>
      <c r="L37" s="260"/>
    </row>
    <row r="38" spans="2:12" ht="17.25" customHeight="1" thickBot="1">
      <c r="B38" s="31" t="s">
        <v>70</v>
      </c>
      <c r="C38" s="144" t="s">
        <v>23</v>
      </c>
      <c r="D38" s="144"/>
      <c r="E38" s="268" t="s">
        <v>18</v>
      </c>
      <c r="F38" s="1">
        <v>3</v>
      </c>
      <c r="G38" s="68"/>
      <c r="H38" s="69">
        <f>IF(E38="あり",F38,0)</f>
        <v>3</v>
      </c>
      <c r="I38" s="671" t="str">
        <f t="shared" ref="I38:I48" si="0">IF($E$7="あり","本園分で選択","－")</f>
        <v>－</v>
      </c>
      <c r="J38" s="672"/>
      <c r="K38" s="68"/>
      <c r="L38" s="260"/>
    </row>
    <row r="39" spans="2:12" ht="17.25" customHeight="1">
      <c r="B39" s="31" t="s">
        <v>90</v>
      </c>
      <c r="C39" s="144" t="s">
        <v>25</v>
      </c>
      <c r="D39" s="144"/>
      <c r="E39" s="240" t="s">
        <v>18</v>
      </c>
      <c r="F39" s="148"/>
      <c r="G39" s="68"/>
      <c r="H39" s="69">
        <f>IF(F9=0,0,IF(E39="あり",IF(F9&lt;=150,0.8,1.5),0))</f>
        <v>1.5</v>
      </c>
      <c r="I39" s="671" t="str">
        <f t="shared" si="0"/>
        <v>－</v>
      </c>
      <c r="J39" s="672"/>
      <c r="K39" s="68"/>
      <c r="L39" s="260"/>
    </row>
    <row r="40" spans="2:12" ht="17.25" customHeight="1">
      <c r="B40" s="275" t="s">
        <v>34</v>
      </c>
      <c r="C40" s="277" t="s">
        <v>91</v>
      </c>
      <c r="D40" s="286"/>
      <c r="E40" s="293" t="s">
        <v>18</v>
      </c>
      <c r="F40" s="94"/>
      <c r="G40" s="276"/>
      <c r="H40" s="294">
        <f>IF(F9=0,0,IF(E40="あり",IF(F9&lt;=150,2,3),0))</f>
        <v>3</v>
      </c>
      <c r="I40" s="676" t="str">
        <f t="shared" si="0"/>
        <v>－</v>
      </c>
      <c r="J40" s="677"/>
      <c r="K40" s="276"/>
      <c r="L40" s="274"/>
    </row>
    <row r="41" spans="2:12" ht="17.25" customHeight="1">
      <c r="B41" s="31" t="s">
        <v>92</v>
      </c>
      <c r="C41" s="144" t="s">
        <v>68</v>
      </c>
      <c r="D41" s="144"/>
      <c r="E41" s="240" t="s">
        <v>18</v>
      </c>
      <c r="F41" s="30"/>
      <c r="G41" s="68"/>
      <c r="H41" s="69">
        <f>IF(E41="あり",0.5,0)</f>
        <v>0.5</v>
      </c>
      <c r="I41" s="671" t="str">
        <f t="shared" si="0"/>
        <v>－</v>
      </c>
      <c r="J41" s="672"/>
      <c r="K41" s="68"/>
      <c r="L41" s="260"/>
    </row>
    <row r="42" spans="2:12" ht="17.25" customHeight="1">
      <c r="B42" s="31" t="s">
        <v>93</v>
      </c>
      <c r="C42" s="144" t="s">
        <v>31</v>
      </c>
      <c r="D42" s="144"/>
      <c r="E42" s="240" t="s">
        <v>18</v>
      </c>
      <c r="F42" s="30"/>
      <c r="G42" s="68"/>
      <c r="H42" s="69">
        <f>IF(E42="あり",0.8,0)</f>
        <v>0.8</v>
      </c>
      <c r="I42" s="671" t="str">
        <f t="shared" si="0"/>
        <v>－</v>
      </c>
      <c r="J42" s="672"/>
      <c r="K42" s="68"/>
      <c r="L42" s="260"/>
    </row>
    <row r="43" spans="2:12" ht="17.25" customHeight="1">
      <c r="B43" s="31" t="s">
        <v>94</v>
      </c>
      <c r="C43" s="144" t="s">
        <v>33</v>
      </c>
      <c r="D43" s="144"/>
      <c r="E43" s="240" t="s">
        <v>18</v>
      </c>
      <c r="F43" s="30"/>
      <c r="G43" s="68"/>
      <c r="H43" s="69">
        <f>IF(E43="あり",0.8,0)</f>
        <v>0.8</v>
      </c>
      <c r="I43" s="671" t="str">
        <f t="shared" si="0"/>
        <v>－</v>
      </c>
      <c r="J43" s="672"/>
      <c r="K43" s="68"/>
      <c r="L43" s="260"/>
    </row>
    <row r="44" spans="2:12" ht="17.25" customHeight="1">
      <c r="B44" s="31" t="s">
        <v>95</v>
      </c>
      <c r="C44" s="144" t="s">
        <v>35</v>
      </c>
      <c r="D44" s="144"/>
      <c r="E44" s="240" t="s">
        <v>18</v>
      </c>
      <c r="F44" s="30"/>
      <c r="G44" s="68"/>
      <c r="H44" s="69">
        <f>IF(E44="あり",0.8,0)</f>
        <v>0.8</v>
      </c>
      <c r="I44" s="671" t="str">
        <f t="shared" si="0"/>
        <v>－</v>
      </c>
      <c r="J44" s="672"/>
      <c r="K44" s="68"/>
      <c r="L44" s="260"/>
    </row>
    <row r="45" spans="2:12" ht="17.25" customHeight="1">
      <c r="B45" s="31" t="s">
        <v>96</v>
      </c>
      <c r="C45" s="632" t="s">
        <v>37</v>
      </c>
      <c r="D45" s="670"/>
      <c r="E45" s="240" t="s">
        <v>18</v>
      </c>
      <c r="F45" s="146"/>
      <c r="G45" s="68"/>
      <c r="H45" s="69">
        <f>IF(E45="あり",0.6,0)</f>
        <v>0.6</v>
      </c>
      <c r="I45" s="269"/>
      <c r="J45" s="270"/>
      <c r="K45" s="68"/>
      <c r="L45" s="260"/>
    </row>
    <row r="46" spans="2:12" ht="17.25" customHeight="1" thickBot="1">
      <c r="B46" s="31" t="s">
        <v>97</v>
      </c>
      <c r="C46" s="345" t="s">
        <v>39</v>
      </c>
      <c r="D46" s="144"/>
      <c r="E46" s="240" t="s">
        <v>18</v>
      </c>
      <c r="F46" s="146"/>
      <c r="G46" s="68"/>
      <c r="H46" s="70">
        <f>IF(E46="あり",-1,0)</f>
        <v>-1</v>
      </c>
      <c r="I46" s="671" t="str">
        <f t="shared" si="0"/>
        <v>－</v>
      </c>
      <c r="J46" s="672"/>
      <c r="K46" s="68"/>
      <c r="L46" s="261"/>
    </row>
    <row r="47" spans="2:12" ht="44.25" customHeight="1" thickBot="1">
      <c r="B47" s="31" t="s">
        <v>98</v>
      </c>
      <c r="C47" s="678" t="s">
        <v>132</v>
      </c>
      <c r="D47" s="678"/>
      <c r="E47" s="254" t="s">
        <v>99</v>
      </c>
      <c r="F47" s="149">
        <v>2</v>
      </c>
      <c r="G47" s="172"/>
      <c r="H47" s="70">
        <f>IF(E47="該当",-F47,0)</f>
        <v>-2</v>
      </c>
      <c r="I47" s="671" t="str">
        <f t="shared" si="0"/>
        <v>－</v>
      </c>
      <c r="J47" s="672"/>
      <c r="K47" s="172"/>
      <c r="L47" s="261"/>
    </row>
    <row r="48" spans="2:12" ht="24" customHeight="1" thickBot="1">
      <c r="B48" s="31" t="s">
        <v>100</v>
      </c>
      <c r="C48" s="144" t="s">
        <v>101</v>
      </c>
      <c r="D48" s="144"/>
      <c r="E48" s="254" t="s">
        <v>99</v>
      </c>
      <c r="F48" s="149">
        <v>2</v>
      </c>
      <c r="G48" s="172"/>
      <c r="H48" s="70">
        <f>IF(E48="該当",-F48,0)</f>
        <v>-2</v>
      </c>
      <c r="I48" s="671" t="str">
        <f t="shared" si="0"/>
        <v>－</v>
      </c>
      <c r="J48" s="672"/>
      <c r="K48" s="172"/>
      <c r="L48" s="261"/>
    </row>
    <row r="49" spans="1:12" ht="24" customHeight="1" thickBot="1">
      <c r="B49" s="150" t="s">
        <v>71</v>
      </c>
      <c r="C49" s="151"/>
      <c r="D49" s="151"/>
      <c r="E49" s="255"/>
      <c r="F49" s="153"/>
      <c r="G49" s="173">
        <f>F9+F10</f>
        <v>290</v>
      </c>
      <c r="H49" s="72">
        <f>IF(G49&lt;=90,1.4,2.2)</f>
        <v>2.2000000000000002</v>
      </c>
      <c r="I49" s="152"/>
      <c r="J49" s="153"/>
      <c r="K49" s="173">
        <f>IF(E7="あり",J9+J10,0)</f>
        <v>0</v>
      </c>
      <c r="L49" s="72">
        <f>IF(E7="あり",IF(K49&lt;=90,1.4,2.2),0)</f>
        <v>0</v>
      </c>
    </row>
    <row r="50" spans="1:12" ht="24" customHeight="1" thickTop="1" thickBot="1">
      <c r="B50" s="36" t="s">
        <v>42</v>
      </c>
      <c r="E50" s="236"/>
      <c r="F50" s="37"/>
      <c r="G50" s="73"/>
      <c r="H50" s="74">
        <f>SUM(H32:H49)</f>
        <v>26.400000000000002</v>
      </c>
      <c r="I50" s="9"/>
      <c r="J50" s="37"/>
      <c r="K50" s="73"/>
      <c r="L50" s="74">
        <f>SUM(L32:L49)</f>
        <v>0</v>
      </c>
    </row>
    <row r="51" spans="1:12" ht="24" customHeight="1" thickBot="1">
      <c r="B51" s="38" t="s">
        <v>43</v>
      </c>
      <c r="C51" s="39"/>
      <c r="D51" s="39"/>
      <c r="E51" s="209"/>
      <c r="F51" s="40"/>
      <c r="G51" s="75"/>
      <c r="H51" s="192">
        <f>ROUND(H50,0)</f>
        <v>26</v>
      </c>
      <c r="I51" s="39"/>
      <c r="J51" s="40"/>
      <c r="K51" s="75"/>
      <c r="L51" s="192">
        <f>ROUND(L50,0)</f>
        <v>0</v>
      </c>
    </row>
    <row r="52" spans="1:12" ht="12" customHeight="1">
      <c r="G52" s="43"/>
    </row>
    <row r="53" spans="1:12" ht="21.75" customHeight="1" thickBot="1">
      <c r="A53" s="295" t="s">
        <v>127</v>
      </c>
      <c r="E53" s="9"/>
      <c r="G53" s="44"/>
      <c r="H53" s="333" t="s">
        <v>124</v>
      </c>
      <c r="I53" s="334" t="s">
        <v>123</v>
      </c>
    </row>
    <row r="54" spans="1:12" ht="21.75" customHeight="1" thickBot="1">
      <c r="B54" s="49" t="s">
        <v>46</v>
      </c>
      <c r="C54" s="46"/>
      <c r="D54" s="46"/>
      <c r="E54" s="39"/>
      <c r="F54" s="99"/>
      <c r="G54" s="47">
        <f>(H51+L51)/3</f>
        <v>8.6666666666666661</v>
      </c>
      <c r="H54" s="81">
        <f>IF(ROUND(G54,0)=0,1,ROUND(G54,0))</f>
        <v>9</v>
      </c>
      <c r="I54" s="292">
        <v>8</v>
      </c>
    </row>
    <row r="55" spans="1:12" ht="21.75" customHeight="1" thickBot="1">
      <c r="B55" s="48" t="s">
        <v>47</v>
      </c>
      <c r="C55" s="287"/>
      <c r="D55" s="287"/>
      <c r="E55" s="288"/>
      <c r="F55" s="154"/>
      <c r="G55" s="289">
        <f>(H51+L51)/5</f>
        <v>5.2</v>
      </c>
      <c r="H55" s="290">
        <f>IF(ROUND(G55,0)=0,1,ROUND(G55,0))</f>
        <v>5</v>
      </c>
      <c r="I55" s="292">
        <v>5</v>
      </c>
    </row>
    <row r="56" spans="1:12" ht="21.75" customHeight="1">
      <c r="E56" s="9"/>
      <c r="H56" s="43"/>
      <c r="I56" s="10"/>
    </row>
    <row r="57" spans="1:12" ht="21.75" customHeight="1" thickBot="1">
      <c r="A57" s="13" t="s">
        <v>48</v>
      </c>
      <c r="E57" s="9"/>
    </row>
    <row r="58" spans="1:12" ht="21.75" customHeight="1" thickBot="1">
      <c r="B58" s="155"/>
      <c r="C58" s="346">
        <v>50350</v>
      </c>
      <c r="D58" s="50" t="s">
        <v>72</v>
      </c>
      <c r="E58" s="50"/>
      <c r="F58" s="156"/>
      <c r="G58" s="157"/>
      <c r="H58" s="337">
        <f>IF(I54="","実人数を入力してください",IF(ISBLANK(I54),C58*H54,IF(H54&lt;I54,C58*H54,C58*I54)))</f>
        <v>402800</v>
      </c>
    </row>
    <row r="59" spans="1:12" ht="21.75" customHeight="1" thickBot="1">
      <c r="B59" s="158"/>
      <c r="C59" s="53">
        <v>6290</v>
      </c>
      <c r="D59" s="53" t="s">
        <v>73</v>
      </c>
      <c r="E59" s="53"/>
      <c r="F59" s="159"/>
      <c r="G59" s="160"/>
      <c r="H59" s="338">
        <f>IF(I55="","実人数を入力してください",IF(ISBLANK(I55),C59*H55,IF(H55&lt;I55,C59*H55,C59*I55)))</f>
        <v>31450</v>
      </c>
    </row>
    <row r="60" spans="1:12" ht="21.75" customHeight="1" thickTop="1" thickBot="1">
      <c r="B60" s="161"/>
      <c r="C60" s="162" t="s">
        <v>74</v>
      </c>
      <c r="D60" s="163"/>
      <c r="E60" s="163"/>
      <c r="F60" s="163"/>
      <c r="G60" s="163"/>
      <c r="H60" s="318">
        <f>SUM(H58:H59)</f>
        <v>434250</v>
      </c>
    </row>
    <row r="61" spans="1:12" ht="33.75" customHeight="1"/>
    <row r="62" spans="1:12" ht="33.75" customHeight="1"/>
    <row r="63" spans="1:12" ht="33.75" customHeight="1"/>
    <row r="64" spans="1:12" ht="33.75" customHeight="1"/>
    <row r="65" ht="33.75" customHeight="1"/>
    <row r="66" ht="33.75" customHeight="1"/>
    <row r="67" ht="33.75" customHeight="1"/>
    <row r="68" ht="33.75" customHeight="1"/>
    <row r="69" ht="33.75" customHeight="1"/>
    <row r="70" ht="33.7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sheetData>
  <mergeCells count="32">
    <mergeCell ref="I47:J47"/>
    <mergeCell ref="I48:J48"/>
    <mergeCell ref="I39:J39"/>
    <mergeCell ref="I41:J41"/>
    <mergeCell ref="I42:J42"/>
    <mergeCell ref="I43:J43"/>
    <mergeCell ref="C47:D47"/>
    <mergeCell ref="G22:H22"/>
    <mergeCell ref="B8:E8"/>
    <mergeCell ref="B11:E11"/>
    <mergeCell ref="C12:D12"/>
    <mergeCell ref="C13:D13"/>
    <mergeCell ref="C15:D15"/>
    <mergeCell ref="C17:D17"/>
    <mergeCell ref="C10:E10"/>
    <mergeCell ref="C9:E9"/>
    <mergeCell ref="C18:L18"/>
    <mergeCell ref="E21:H21"/>
    <mergeCell ref="I21:L21"/>
    <mergeCell ref="K22:L22"/>
    <mergeCell ref="I36:J36"/>
    <mergeCell ref="I46:J46"/>
    <mergeCell ref="C45:D45"/>
    <mergeCell ref="I40:J40"/>
    <mergeCell ref="B3:C3"/>
    <mergeCell ref="D3:H3"/>
    <mergeCell ref="B6:D6"/>
    <mergeCell ref="B7:D7"/>
    <mergeCell ref="I38:J38"/>
    <mergeCell ref="I37:J37"/>
    <mergeCell ref="I44:J44"/>
    <mergeCell ref="C16:D16"/>
  </mergeCells>
  <phoneticPr fontId="1"/>
  <dataValidations count="2">
    <dataValidation type="list" allowBlank="1" showInputMessage="1" showErrorMessage="1" sqref="E27:E28 E49 I35 E7 I27:I28 I49 E35:E46 E25 I25 E30 I30" xr:uid="{00000000-0002-0000-0200-000000000000}">
      <formula1>"　,あり,なし"</formula1>
    </dataValidation>
    <dataValidation type="list" allowBlank="1" showInputMessage="1" showErrorMessage="1" sqref="E47:E48" xr:uid="{00000000-0002-0000-0200-000001000000}">
      <formula1>"　,該当,非該当"</formula1>
    </dataValidation>
  </dataValidations>
  <pageMargins left="0.92" right="0.56000000000000005" top="0.75" bottom="0.37" header="0.3" footer="0.3"/>
  <pageSetup paperSize="9" scale="57"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J104"/>
  <sheetViews>
    <sheetView view="pageBreakPreview" topLeftCell="A7" zoomScale="85" zoomScaleNormal="70" zoomScaleSheetLayoutView="85" workbookViewId="0"/>
  </sheetViews>
  <sheetFormatPr defaultColWidth="9" defaultRowHeight="18.75"/>
  <cols>
    <col min="1" max="1" width="2.875" style="11" customWidth="1"/>
    <col min="2" max="2" width="3" style="9" customWidth="1"/>
    <col min="3" max="3" width="16.375" style="9" customWidth="1"/>
    <col min="4" max="4" width="25.5" style="9" customWidth="1"/>
    <col min="5" max="5" width="8" style="9" customWidth="1"/>
    <col min="6" max="6" width="8" style="10" customWidth="1"/>
    <col min="7" max="7" width="11.75" style="10" hidden="1" customWidth="1"/>
    <col min="8" max="9" width="13.875" style="10" customWidth="1"/>
    <col min="10" max="16384" width="9" style="11"/>
  </cols>
  <sheetData>
    <row r="1" spans="1:10" s="8" customFormat="1" ht="31.5" customHeight="1">
      <c r="A1" s="347" t="s">
        <v>133</v>
      </c>
      <c r="B1" s="6"/>
      <c r="C1" s="6"/>
      <c r="D1" s="6"/>
      <c r="E1" s="6"/>
      <c r="F1" s="7"/>
      <c r="G1" s="7"/>
      <c r="H1" s="7"/>
      <c r="I1" s="7"/>
    </row>
    <row r="2" spans="1:10" s="351" customFormat="1" ht="30.75" customHeight="1">
      <c r="A2" s="347" t="s">
        <v>134</v>
      </c>
      <c r="B2" s="41"/>
      <c r="C2" s="41"/>
      <c r="D2" s="41"/>
      <c r="E2" s="41"/>
      <c r="F2" s="350"/>
      <c r="G2" s="350"/>
      <c r="H2" s="350"/>
      <c r="I2" s="350"/>
    </row>
    <row r="3" spans="1:10" s="351" customFormat="1" ht="30.75" customHeight="1">
      <c r="A3" s="347" t="s">
        <v>135</v>
      </c>
      <c r="B3" s="41"/>
      <c r="C3" s="41"/>
      <c r="D3" s="41"/>
      <c r="E3" s="41"/>
      <c r="F3" s="350"/>
      <c r="G3" s="350"/>
      <c r="H3" s="350"/>
      <c r="I3" s="350"/>
    </row>
    <row r="4" spans="1:10" ht="21.75" customHeight="1" thickBot="1">
      <c r="A4" s="5"/>
    </row>
    <row r="5" spans="1:10" ht="19.5" customHeight="1" thickBot="1">
      <c r="A5" s="9"/>
      <c r="B5" s="656" t="s">
        <v>0</v>
      </c>
      <c r="C5" s="656"/>
      <c r="D5" s="653" t="s">
        <v>52</v>
      </c>
      <c r="E5" s="654"/>
      <c r="F5" s="654"/>
      <c r="G5" s="654"/>
      <c r="H5" s="655"/>
    </row>
    <row r="6" spans="1:10" ht="19.5" customHeight="1">
      <c r="A6" s="9"/>
      <c r="C6" s="12"/>
      <c r="D6" s="12"/>
      <c r="E6" s="12"/>
      <c r="F6" s="12"/>
      <c r="G6" s="12"/>
      <c r="H6" s="12"/>
    </row>
    <row r="7" spans="1:10" ht="19.5" customHeight="1" thickBot="1">
      <c r="A7" s="13" t="s">
        <v>79</v>
      </c>
    </row>
    <row r="8" spans="1:10" ht="33.75" customHeight="1">
      <c r="B8" s="650"/>
      <c r="C8" s="632"/>
      <c r="D8" s="633"/>
      <c r="E8" s="18" t="s">
        <v>12</v>
      </c>
      <c r="F8" s="19" t="s">
        <v>13</v>
      </c>
      <c r="G8" s="673" t="s">
        <v>14</v>
      </c>
      <c r="H8" s="695"/>
    </row>
    <row r="9" spans="1:10" ht="24" customHeight="1" thickBot="1">
      <c r="B9" s="20" t="s">
        <v>15</v>
      </c>
      <c r="C9" s="85" t="s">
        <v>61</v>
      </c>
      <c r="D9" s="85"/>
      <c r="E9" s="21"/>
      <c r="F9" s="22"/>
      <c r="G9" s="60"/>
      <c r="H9" s="61"/>
    </row>
    <row r="10" spans="1:10" ht="28.5" customHeight="1" thickBot="1">
      <c r="B10" s="23"/>
      <c r="C10" s="693" t="s">
        <v>102</v>
      </c>
      <c r="D10" s="694"/>
      <c r="E10" s="138"/>
      <c r="F10" s="1">
        <v>1</v>
      </c>
      <c r="G10" s="102">
        <f>F10*1/30</f>
        <v>3.3333333333333333E-2</v>
      </c>
      <c r="H10" s="103">
        <f>ROUNDDOWN(G10,1)</f>
        <v>0</v>
      </c>
      <c r="J10" s="25"/>
    </row>
    <row r="11" spans="1:10" ht="28.5" customHeight="1" thickBot="1">
      <c r="B11" s="23"/>
      <c r="C11" s="683" t="s">
        <v>103</v>
      </c>
      <c r="D11" s="684"/>
      <c r="E11" s="24"/>
      <c r="F11" s="1">
        <v>5</v>
      </c>
      <c r="G11" s="62">
        <f>F11*1/20</f>
        <v>0.25</v>
      </c>
      <c r="H11" s="63">
        <f>ROUNDDOWN(G11,1)</f>
        <v>0.2</v>
      </c>
      <c r="J11" s="25"/>
    </row>
    <row r="12" spans="1:10" ht="28.5" customHeight="1" thickBot="1">
      <c r="B12" s="23"/>
      <c r="C12" s="683" t="s">
        <v>104</v>
      </c>
      <c r="D12" s="684"/>
      <c r="E12" s="24"/>
      <c r="F12" s="1">
        <v>10</v>
      </c>
      <c r="G12" s="62">
        <f>IF(E13="なし",F12*1/6,(F12-F13)*1/6+F13*1/5)</f>
        <v>1.8333333333333335</v>
      </c>
      <c r="H12" s="63">
        <f>ROUNDDOWN(G12,1)</f>
        <v>1.8</v>
      </c>
      <c r="J12" s="25"/>
    </row>
    <row r="13" spans="1:10" ht="28.5" customHeight="1" thickBot="1">
      <c r="B13" s="23"/>
      <c r="C13" s="685" t="s">
        <v>136</v>
      </c>
      <c r="D13" s="686"/>
      <c r="E13" s="117" t="s">
        <v>18</v>
      </c>
      <c r="F13" s="1">
        <v>5</v>
      </c>
      <c r="G13" s="331"/>
      <c r="H13" s="332"/>
      <c r="J13" s="25"/>
    </row>
    <row r="14" spans="1:10" ht="28.5" customHeight="1" thickBot="1">
      <c r="B14" s="23"/>
      <c r="C14" s="683" t="s">
        <v>105</v>
      </c>
      <c r="D14" s="639"/>
      <c r="E14" s="24"/>
      <c r="F14" s="1">
        <v>4</v>
      </c>
      <c r="G14" s="62">
        <f>F14*1/3</f>
        <v>1.3333333333333333</v>
      </c>
      <c r="H14" s="63">
        <f>ROUNDDOWN(G14,1)</f>
        <v>1.3</v>
      </c>
      <c r="J14" s="25"/>
    </row>
    <row r="15" spans="1:10" ht="24" customHeight="1" thickBot="1">
      <c r="B15" s="23"/>
      <c r="C15" s="638" t="s">
        <v>106</v>
      </c>
      <c r="D15" s="639"/>
      <c r="E15" s="117" t="s">
        <v>18</v>
      </c>
      <c r="F15" s="1">
        <v>6</v>
      </c>
      <c r="G15" s="62">
        <f>IF(E15="あり",F15/2,0)</f>
        <v>3</v>
      </c>
      <c r="H15" s="63">
        <f>ROUNDDOWN(G15,1)</f>
        <v>3</v>
      </c>
      <c r="J15" s="25"/>
    </row>
    <row r="16" spans="1:10" ht="24" customHeight="1" thickBot="1">
      <c r="B16" s="26"/>
      <c r="C16" s="691" t="s">
        <v>107</v>
      </c>
      <c r="D16" s="692"/>
      <c r="E16" s="118"/>
      <c r="F16" s="119"/>
      <c r="G16" s="123"/>
      <c r="H16" s="124">
        <v>1</v>
      </c>
      <c r="J16" s="25"/>
    </row>
    <row r="17" spans="1:10" ht="24" customHeight="1" thickTop="1">
      <c r="B17" s="26"/>
      <c r="C17" s="689" t="s">
        <v>65</v>
      </c>
      <c r="D17" s="690"/>
      <c r="E17" s="27"/>
      <c r="F17" s="28"/>
      <c r="G17" s="66"/>
      <c r="H17" s="67">
        <f>ROUND(SUM(H10:H16),0)</f>
        <v>7</v>
      </c>
      <c r="J17" s="25"/>
    </row>
    <row r="18" spans="1:10" ht="24" customHeight="1">
      <c r="B18" s="29" t="s">
        <v>20</v>
      </c>
      <c r="C18" s="632" t="s">
        <v>137</v>
      </c>
      <c r="D18" s="633"/>
      <c r="E18" s="4" t="s">
        <v>18</v>
      </c>
      <c r="F18" s="30"/>
      <c r="G18" s="68"/>
      <c r="H18" s="69">
        <f>IF(E18="あり",0.4,0)</f>
        <v>0.4</v>
      </c>
    </row>
    <row r="19" spans="1:10" ht="24" customHeight="1">
      <c r="B19" s="29" t="s">
        <v>22</v>
      </c>
      <c r="C19" s="632" t="s">
        <v>68</v>
      </c>
      <c r="D19" s="633"/>
      <c r="E19" s="4" t="s">
        <v>18</v>
      </c>
      <c r="F19" s="30"/>
      <c r="G19" s="68"/>
      <c r="H19" s="69">
        <f>IF(E19="あり",0.5,0)</f>
        <v>0.5</v>
      </c>
    </row>
    <row r="20" spans="1:10" ht="24" customHeight="1">
      <c r="B20" s="29" t="s">
        <v>86</v>
      </c>
      <c r="C20" s="144" t="s">
        <v>37</v>
      </c>
      <c r="D20" s="271"/>
      <c r="E20" s="4" t="s">
        <v>18</v>
      </c>
      <c r="F20" s="30"/>
      <c r="G20" s="68"/>
      <c r="H20" s="69">
        <f>IF(E20="あり",0.6,0)</f>
        <v>0.6</v>
      </c>
    </row>
    <row r="21" spans="1:10" ht="27.75" customHeight="1">
      <c r="B21" s="31" t="s">
        <v>87</v>
      </c>
      <c r="C21" s="687" t="s">
        <v>108</v>
      </c>
      <c r="D21" s="688"/>
      <c r="E21" s="4" t="s">
        <v>18</v>
      </c>
      <c r="F21" s="30"/>
      <c r="G21" s="68"/>
      <c r="H21" s="70">
        <f>IF(E21="あり",-1,0)</f>
        <v>-1</v>
      </c>
    </row>
    <row r="22" spans="1:10" ht="27.75" customHeight="1" thickBot="1">
      <c r="B22" s="32" t="s">
        <v>109</v>
      </c>
      <c r="C22" s="33"/>
      <c r="D22" s="33"/>
      <c r="E22" s="34"/>
      <c r="F22" s="35"/>
      <c r="G22" s="71"/>
      <c r="H22" s="114">
        <v>1.3</v>
      </c>
    </row>
    <row r="23" spans="1:10" ht="24" customHeight="1" thickTop="1" thickBot="1">
      <c r="B23" s="36" t="s">
        <v>42</v>
      </c>
      <c r="F23" s="37"/>
      <c r="G23" s="73"/>
      <c r="H23" s="74">
        <f>SUM(H17:H22)</f>
        <v>8.8000000000000007</v>
      </c>
    </row>
    <row r="24" spans="1:10" ht="24" customHeight="1" thickBot="1">
      <c r="B24" s="120" t="s">
        <v>43</v>
      </c>
      <c r="C24" s="121"/>
      <c r="D24" s="121"/>
      <c r="E24" s="121"/>
      <c r="F24" s="122"/>
      <c r="G24" s="75"/>
      <c r="H24" s="192">
        <f>ROUND(H23,0)</f>
        <v>9</v>
      </c>
    </row>
    <row r="25" spans="1:10" ht="24" customHeight="1">
      <c r="B25" s="41"/>
      <c r="G25" s="42"/>
      <c r="H25" s="43"/>
    </row>
    <row r="26" spans="1:10" ht="33.75" customHeight="1" thickBot="1">
      <c r="A26" s="13" t="s">
        <v>127</v>
      </c>
      <c r="F26" s="9"/>
      <c r="H26" s="352" t="s">
        <v>124</v>
      </c>
      <c r="I26" s="353" t="s">
        <v>123</v>
      </c>
    </row>
    <row r="27" spans="1:10" ht="25.5" customHeight="1" thickBot="1">
      <c r="B27" s="45" t="s">
        <v>46</v>
      </c>
      <c r="C27" s="359"/>
      <c r="D27" s="359"/>
      <c r="E27" s="359"/>
      <c r="F27" s="360"/>
      <c r="G27" s="47">
        <f>H24/3</f>
        <v>3</v>
      </c>
      <c r="H27" s="81">
        <f>IF(ROUND(G27,0)=0,1,ROUND(G27,0))</f>
        <v>3</v>
      </c>
      <c r="I27" s="292">
        <v>3</v>
      </c>
    </row>
    <row r="28" spans="1:10" ht="25.5" customHeight="1" thickBot="1">
      <c r="B28" s="49" t="s">
        <v>47</v>
      </c>
      <c r="C28" s="46"/>
      <c r="D28" s="46"/>
      <c r="E28" s="46"/>
      <c r="F28" s="320"/>
      <c r="G28" s="47">
        <f>H24/5</f>
        <v>1.8</v>
      </c>
      <c r="H28" s="81">
        <f>IF(ROUND(G28,0)=0,1,ROUND(G28,0))</f>
        <v>2</v>
      </c>
      <c r="I28" s="292">
        <v>2</v>
      </c>
    </row>
    <row r="29" spans="1:10" ht="25.5" customHeight="1">
      <c r="F29" s="9"/>
      <c r="H29" s="43"/>
      <c r="I29" s="11"/>
    </row>
    <row r="30" spans="1:10" ht="25.5" customHeight="1" thickBot="1">
      <c r="A30" s="13" t="s">
        <v>48</v>
      </c>
      <c r="F30" s="9"/>
      <c r="I30" s="11"/>
    </row>
    <row r="31" spans="1:10" ht="25.5" customHeight="1" thickBot="1">
      <c r="B31" s="49"/>
      <c r="C31" s="50">
        <v>49020</v>
      </c>
      <c r="D31" s="46" t="s">
        <v>72</v>
      </c>
      <c r="E31" s="46"/>
      <c r="F31" s="46"/>
      <c r="G31" s="51"/>
      <c r="H31" s="354">
        <f>IF(I27="","実人数を入力してください",IF(ISBLANK(I27),C31*H27,IF(H27&lt;I27,C31*H27,C31*I27)))</f>
        <v>147060</v>
      </c>
      <c r="I31" s="11"/>
    </row>
    <row r="32" spans="1:10" ht="25.5" customHeight="1" thickBot="1">
      <c r="B32" s="52"/>
      <c r="C32" s="53">
        <v>6130</v>
      </c>
      <c r="D32" s="54" t="s">
        <v>73</v>
      </c>
      <c r="E32" s="54"/>
      <c r="F32" s="54"/>
      <c r="G32" s="55"/>
      <c r="H32" s="356">
        <f>IF(I28="","実人数を入力してください",IF(ISBLANK(I28),C32*H28,IF(H28&lt;I28,C32*H28,C32*I28)))</f>
        <v>12260</v>
      </c>
      <c r="I32" s="11"/>
    </row>
    <row r="33" spans="2:8" ht="25.5" customHeight="1" thickTop="1" thickBot="1">
      <c r="B33" s="56"/>
      <c r="C33" s="57" t="s">
        <v>74</v>
      </c>
      <c r="D33" s="57"/>
      <c r="E33" s="59"/>
      <c r="F33" s="59"/>
      <c r="G33" s="59"/>
      <c r="H33" s="318">
        <f>SUM(H31:H32)</f>
        <v>159320</v>
      </c>
    </row>
    <row r="34" spans="2:8" ht="33.75" customHeight="1"/>
    <row r="35" spans="2:8" ht="33.75" customHeight="1"/>
    <row r="36" spans="2:8" ht="33.75" customHeight="1"/>
    <row r="37" spans="2:8" ht="33.75" customHeight="1"/>
    <row r="38" spans="2:8" ht="33.75" customHeight="1"/>
    <row r="39" spans="2:8" ht="33.75" customHeight="1"/>
    <row r="40" spans="2:8" ht="33.75" customHeight="1"/>
    <row r="41" spans="2:8" ht="33.75" customHeight="1"/>
    <row r="42" spans="2:8" ht="33.75" customHeight="1"/>
    <row r="43" spans="2:8" ht="33.75" customHeight="1"/>
    <row r="44" spans="2:8" ht="20.25" customHeight="1"/>
    <row r="45" spans="2:8" ht="20.25" customHeight="1"/>
    <row r="46" spans="2:8" ht="20.25" customHeight="1"/>
    <row r="47" spans="2:8" ht="20.25" customHeight="1"/>
    <row r="48" spans="2: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sheetData>
  <mergeCells count="15">
    <mergeCell ref="B5:C5"/>
    <mergeCell ref="C10:D10"/>
    <mergeCell ref="C11:D11"/>
    <mergeCell ref="D5:H5"/>
    <mergeCell ref="G8:H8"/>
    <mergeCell ref="C21:D21"/>
    <mergeCell ref="C19:D19"/>
    <mergeCell ref="C18:D18"/>
    <mergeCell ref="C17:D17"/>
    <mergeCell ref="C16:D16"/>
    <mergeCell ref="C14:D14"/>
    <mergeCell ref="C15:D15"/>
    <mergeCell ref="C12:D12"/>
    <mergeCell ref="B8:D8"/>
    <mergeCell ref="C13:D13"/>
  </mergeCells>
  <phoneticPr fontId="1"/>
  <dataValidations count="1">
    <dataValidation type="list" allowBlank="1" showInputMessage="1" showErrorMessage="1" sqref="E15 E18:E21 E13" xr:uid="{00000000-0002-0000-0300-000000000000}">
      <formula1>"　,あり,なし"</formula1>
    </dataValidation>
  </dataValidations>
  <pageMargins left="0.92" right="0.56000000000000005" top="0.75" bottom="0.37" header="0.3" footer="0.3"/>
  <pageSetup paperSize="9" scale="87"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pageSetUpPr fitToPage="1"/>
  </sheetPr>
  <dimension ref="A1:J106"/>
  <sheetViews>
    <sheetView view="pageBreakPreview" zoomScale="85" zoomScaleNormal="70" zoomScaleSheetLayoutView="85" workbookViewId="0"/>
  </sheetViews>
  <sheetFormatPr defaultColWidth="9" defaultRowHeight="18.75"/>
  <cols>
    <col min="1" max="1" width="2.875" style="11" customWidth="1"/>
    <col min="2" max="2" width="3" style="9" customWidth="1"/>
    <col min="3" max="3" width="17.75" style="9" customWidth="1"/>
    <col min="4" max="4" width="22.625" style="9" customWidth="1"/>
    <col min="5" max="5" width="8" style="9" customWidth="1"/>
    <col min="6" max="6" width="8" style="10" customWidth="1"/>
    <col min="7" max="7" width="10.25" style="10" hidden="1" customWidth="1"/>
    <col min="8" max="9" width="14.375" style="10" customWidth="1"/>
    <col min="10" max="16384" width="9" style="11"/>
  </cols>
  <sheetData>
    <row r="1" spans="1:10" s="8" customFormat="1" ht="31.5" customHeight="1">
      <c r="A1" s="5" t="s">
        <v>133</v>
      </c>
      <c r="B1" s="6"/>
      <c r="C1" s="6"/>
      <c r="D1" s="6"/>
      <c r="E1" s="6"/>
      <c r="F1" s="7"/>
      <c r="G1" s="7"/>
      <c r="H1" s="7"/>
      <c r="I1" s="7"/>
    </row>
    <row r="2" spans="1:10" ht="30.75" customHeight="1">
      <c r="A2" s="5" t="s">
        <v>138</v>
      </c>
    </row>
    <row r="3" spans="1:10" ht="21.75" customHeight="1" thickBot="1">
      <c r="A3" s="5"/>
    </row>
    <row r="4" spans="1:10" ht="19.5" customHeight="1" thickBot="1">
      <c r="A4" s="9"/>
      <c r="B4" s="656" t="s">
        <v>0</v>
      </c>
      <c r="C4" s="656"/>
      <c r="D4" s="653" t="s">
        <v>52</v>
      </c>
      <c r="E4" s="654"/>
      <c r="F4" s="654"/>
      <c r="G4" s="654"/>
      <c r="H4" s="655"/>
    </row>
    <row r="5" spans="1:10" ht="19.5" customHeight="1">
      <c r="A5" s="9"/>
      <c r="C5" s="12"/>
      <c r="D5" s="12"/>
      <c r="E5" s="12"/>
      <c r="F5" s="12"/>
      <c r="G5" s="12"/>
      <c r="H5" s="12"/>
    </row>
    <row r="6" spans="1:10" ht="19.5" customHeight="1" thickBot="1">
      <c r="A6" s="13" t="s">
        <v>2</v>
      </c>
      <c r="E6" s="12"/>
      <c r="F6" s="12"/>
      <c r="G6" s="12"/>
      <c r="H6" s="12"/>
    </row>
    <row r="7" spans="1:10" ht="35.25" customHeight="1" thickBot="1">
      <c r="A7" s="13"/>
      <c r="B7" s="651"/>
      <c r="C7" s="652"/>
      <c r="D7" s="652"/>
      <c r="E7" s="652"/>
      <c r="F7" s="14" t="s">
        <v>13</v>
      </c>
      <c r="G7" s="12"/>
      <c r="H7" s="12"/>
      <c r="I7" s="12"/>
      <c r="J7" s="10"/>
    </row>
    <row r="8" spans="1:10" ht="19.5" customHeight="1" thickBot="1">
      <c r="A8" s="13"/>
      <c r="B8" s="650" t="s">
        <v>4</v>
      </c>
      <c r="C8" s="632"/>
      <c r="D8" s="632"/>
      <c r="E8" s="632"/>
      <c r="F8" s="1">
        <v>31</v>
      </c>
      <c r="G8" s="12"/>
      <c r="H8" s="12"/>
      <c r="I8" s="12"/>
      <c r="J8" s="10"/>
    </row>
    <row r="9" spans="1:10" ht="19.5" customHeight="1">
      <c r="A9" s="13"/>
      <c r="B9" s="15"/>
      <c r="C9" s="15"/>
      <c r="D9" s="15"/>
      <c r="E9" s="15"/>
      <c r="F9" s="16"/>
      <c r="G9" s="12"/>
      <c r="H9" s="12"/>
      <c r="I9" s="12"/>
      <c r="J9" s="10"/>
    </row>
    <row r="10" spans="1:10" ht="19.5" customHeight="1" thickBot="1">
      <c r="A10" s="13" t="s">
        <v>79</v>
      </c>
    </row>
    <row r="11" spans="1:10" ht="33.75" customHeight="1">
      <c r="B11" s="17"/>
      <c r="C11" s="632"/>
      <c r="D11" s="633"/>
      <c r="E11" s="18" t="s">
        <v>12</v>
      </c>
      <c r="F11" s="19" t="s">
        <v>13</v>
      </c>
      <c r="G11" s="698" t="s">
        <v>14</v>
      </c>
      <c r="H11" s="699"/>
    </row>
    <row r="12" spans="1:10" ht="24" customHeight="1" thickBot="1">
      <c r="B12" s="20" t="s">
        <v>15</v>
      </c>
      <c r="C12" s="649" t="s">
        <v>61</v>
      </c>
      <c r="D12" s="700"/>
      <c r="E12" s="21"/>
      <c r="F12" s="22"/>
      <c r="G12" s="60"/>
      <c r="H12" s="61"/>
    </row>
    <row r="13" spans="1:10" ht="33.75" customHeight="1" thickBot="1">
      <c r="B13" s="26"/>
      <c r="C13" s="693" t="s">
        <v>102</v>
      </c>
      <c r="D13" s="694"/>
      <c r="E13" s="138"/>
      <c r="F13" s="1">
        <v>1</v>
      </c>
      <c r="G13" s="102">
        <f>F13*1/30</f>
        <v>3.3333333333333333E-2</v>
      </c>
      <c r="H13" s="103">
        <f>ROUNDDOWN(G13,1)</f>
        <v>0</v>
      </c>
    </row>
    <row r="14" spans="1:10" ht="33.75" customHeight="1" thickBot="1">
      <c r="B14" s="26"/>
      <c r="C14" s="683" t="s">
        <v>103</v>
      </c>
      <c r="D14" s="684"/>
      <c r="E14" s="24"/>
      <c r="F14" s="1">
        <v>2</v>
      </c>
      <c r="G14" s="62">
        <f>F14*1/20</f>
        <v>0.1</v>
      </c>
      <c r="H14" s="63">
        <f>ROUNDDOWN(G14,1)</f>
        <v>0.1</v>
      </c>
    </row>
    <row r="15" spans="1:10" ht="33" customHeight="1" thickBot="1">
      <c r="B15" s="23"/>
      <c r="C15" s="683" t="s">
        <v>110</v>
      </c>
      <c r="D15" s="684"/>
      <c r="E15" s="24"/>
      <c r="F15" s="1">
        <v>10</v>
      </c>
      <c r="G15" s="62">
        <f>IF(E16="なし",F15*1/6,(F15-F16)*1/6+F16*1/5)</f>
        <v>1.8333333333333335</v>
      </c>
      <c r="H15" s="63">
        <f>ROUNDDOWN(G15,1)</f>
        <v>1.8</v>
      </c>
      <c r="J15" s="25"/>
    </row>
    <row r="16" spans="1:10" ht="33" customHeight="1" thickBot="1">
      <c r="B16" s="23"/>
      <c r="C16" s="685" t="s">
        <v>136</v>
      </c>
      <c r="D16" s="686"/>
      <c r="E16" s="117" t="s">
        <v>18</v>
      </c>
      <c r="F16" s="1">
        <v>5</v>
      </c>
      <c r="G16" s="331"/>
      <c r="H16" s="332"/>
      <c r="J16" s="25"/>
    </row>
    <row r="17" spans="1:10" ht="30.75" customHeight="1" thickBot="1">
      <c r="B17" s="23"/>
      <c r="C17" s="683" t="s">
        <v>105</v>
      </c>
      <c r="D17" s="639"/>
      <c r="E17" s="24"/>
      <c r="F17" s="1">
        <v>4</v>
      </c>
      <c r="G17" s="62">
        <f>F17*1/3</f>
        <v>1.3333333333333333</v>
      </c>
      <c r="H17" s="63">
        <f>ROUNDDOWN(G17,1)</f>
        <v>1.3</v>
      </c>
      <c r="J17" s="25"/>
    </row>
    <row r="18" spans="1:10" ht="30.75" customHeight="1" thickBot="1">
      <c r="B18" s="23"/>
      <c r="C18" s="691" t="s">
        <v>106</v>
      </c>
      <c r="D18" s="692"/>
      <c r="E18" s="3" t="s">
        <v>111</v>
      </c>
      <c r="F18" s="2">
        <v>5</v>
      </c>
      <c r="G18" s="64">
        <f>IF(E18="あり",F18/2,0)</f>
        <v>0</v>
      </c>
      <c r="H18" s="65">
        <f>ROUNDDOWN(G18,1)</f>
        <v>0</v>
      </c>
      <c r="J18" s="25"/>
    </row>
    <row r="19" spans="1:10" ht="24" customHeight="1" thickTop="1">
      <c r="B19" s="26"/>
      <c r="C19" s="696" t="s">
        <v>65</v>
      </c>
      <c r="D19" s="697"/>
      <c r="E19" s="27"/>
      <c r="F19" s="28"/>
      <c r="G19" s="66"/>
      <c r="H19" s="67">
        <f>ROUND(SUM(H13:H18),0)</f>
        <v>3</v>
      </c>
      <c r="J19" s="25"/>
    </row>
    <row r="20" spans="1:10" ht="24" customHeight="1">
      <c r="B20" s="29" t="s">
        <v>20</v>
      </c>
      <c r="C20" s="632" t="s">
        <v>137</v>
      </c>
      <c r="D20" s="633"/>
      <c r="E20" s="4" t="s">
        <v>18</v>
      </c>
      <c r="F20" s="30"/>
      <c r="G20" s="68"/>
      <c r="H20" s="69">
        <f>IF(E20="あり",1.4,0)</f>
        <v>1.4</v>
      </c>
    </row>
    <row r="21" spans="1:10" ht="24" customHeight="1">
      <c r="B21" s="29" t="s">
        <v>22</v>
      </c>
      <c r="C21" s="632" t="s">
        <v>68</v>
      </c>
      <c r="D21" s="633"/>
      <c r="E21" s="4" t="s">
        <v>18</v>
      </c>
      <c r="F21" s="30"/>
      <c r="G21" s="68"/>
      <c r="H21" s="69">
        <f>IF(E21="あり",0.5,0)</f>
        <v>0.5</v>
      </c>
    </row>
    <row r="22" spans="1:10" ht="24" customHeight="1">
      <c r="B22" s="29" t="s">
        <v>86</v>
      </c>
      <c r="C22" s="144" t="s">
        <v>37</v>
      </c>
      <c r="D22" s="271"/>
      <c r="E22" s="4" t="s">
        <v>18</v>
      </c>
      <c r="F22" s="30"/>
      <c r="G22" s="68"/>
      <c r="H22" s="69">
        <f>IF(E22="あり",0.6,0)</f>
        <v>0.6</v>
      </c>
    </row>
    <row r="23" spans="1:10" ht="27.75" customHeight="1">
      <c r="B23" s="31" t="s">
        <v>87</v>
      </c>
      <c r="C23" s="687" t="s">
        <v>108</v>
      </c>
      <c r="D23" s="688"/>
      <c r="E23" s="4" t="s">
        <v>18</v>
      </c>
      <c r="F23" s="30"/>
      <c r="G23" s="68"/>
      <c r="H23" s="70">
        <f>IF(E23="あり",IF(F8&lt;=40,-1,-2),0)</f>
        <v>-1</v>
      </c>
    </row>
    <row r="24" spans="1:10" ht="27.75" customHeight="1" thickBot="1">
      <c r="B24" s="32" t="s">
        <v>112</v>
      </c>
      <c r="C24" s="33"/>
      <c r="D24" s="33"/>
      <c r="E24" s="34"/>
      <c r="F24" s="35"/>
      <c r="G24" s="71"/>
      <c r="H24" s="72">
        <f>IF(F8&lt;=40,1.5,2.5)</f>
        <v>1.5</v>
      </c>
    </row>
    <row r="25" spans="1:10" ht="24" customHeight="1" thickTop="1" thickBot="1">
      <c r="B25" s="36" t="s">
        <v>42</v>
      </c>
      <c r="F25" s="37"/>
      <c r="G25" s="73"/>
      <c r="H25" s="74">
        <f>SUM(H19:H24)</f>
        <v>6</v>
      </c>
    </row>
    <row r="26" spans="1:10" ht="24" customHeight="1" thickBot="1">
      <c r="B26" s="38" t="s">
        <v>43</v>
      </c>
      <c r="C26" s="39"/>
      <c r="D26" s="39"/>
      <c r="E26" s="39"/>
      <c r="F26" s="40"/>
      <c r="G26" s="75"/>
      <c r="H26" s="192">
        <f>ROUND(H25,0)</f>
        <v>6</v>
      </c>
    </row>
    <row r="27" spans="1:10" ht="24" customHeight="1">
      <c r="B27" s="41"/>
      <c r="G27" s="77"/>
      <c r="H27" s="78"/>
    </row>
    <row r="28" spans="1:10" ht="33.75" customHeight="1" thickBot="1">
      <c r="A28" s="13" t="s">
        <v>127</v>
      </c>
      <c r="F28" s="9"/>
      <c r="G28" s="79"/>
      <c r="H28" s="352" t="s">
        <v>124</v>
      </c>
      <c r="I28" s="353" t="s">
        <v>123</v>
      </c>
    </row>
    <row r="29" spans="1:10" ht="25.5" customHeight="1" thickBot="1">
      <c r="B29" s="45" t="s">
        <v>46</v>
      </c>
      <c r="C29" s="46"/>
      <c r="D29" s="46"/>
      <c r="E29" s="46"/>
      <c r="F29" s="39"/>
      <c r="G29" s="80">
        <f>H26/3</f>
        <v>2</v>
      </c>
      <c r="H29" s="81">
        <f>IF(ROUND(G29,0)=0,1,ROUND(G29,0))</f>
        <v>2</v>
      </c>
      <c r="I29" s="292">
        <v>2</v>
      </c>
    </row>
    <row r="30" spans="1:10" ht="25.5" customHeight="1" thickBot="1">
      <c r="B30" s="49" t="s">
        <v>47</v>
      </c>
      <c r="C30" s="46"/>
      <c r="D30" s="46"/>
      <c r="E30" s="46"/>
      <c r="F30" s="39"/>
      <c r="G30" s="80">
        <f>H26/5</f>
        <v>1.2</v>
      </c>
      <c r="H30" s="81">
        <f>IF(ROUND(G30,0)=0,1,ROUND(G30,0))</f>
        <v>1</v>
      </c>
      <c r="I30" s="292">
        <v>1</v>
      </c>
    </row>
    <row r="31" spans="1:10" ht="25.5" customHeight="1">
      <c r="F31" s="9"/>
      <c r="G31" s="79"/>
      <c r="H31" s="78"/>
      <c r="I31" s="11"/>
    </row>
    <row r="32" spans="1:10" ht="25.5" customHeight="1" thickBot="1">
      <c r="A32" s="13" t="s">
        <v>48</v>
      </c>
      <c r="F32" s="9"/>
      <c r="G32" s="79"/>
      <c r="H32" s="79"/>
      <c r="I32" s="11"/>
    </row>
    <row r="33" spans="2:9" ht="25.5" customHeight="1" thickBot="1">
      <c r="B33" s="49"/>
      <c r="C33" s="50">
        <v>49020</v>
      </c>
      <c r="D33" s="46" t="s">
        <v>72</v>
      </c>
      <c r="E33" s="46"/>
      <c r="F33" s="46"/>
      <c r="G33" s="82"/>
      <c r="H33" s="354">
        <f>IF(I29="","実人数を入力してください",IF(ISBLANK(I29),C33*H29,IF(H29&lt;I29,C33*H29,C33*I29)))</f>
        <v>98040</v>
      </c>
      <c r="I33" s="11"/>
    </row>
    <row r="34" spans="2:9" ht="25.5" customHeight="1" thickBot="1">
      <c r="B34" s="52"/>
      <c r="C34" s="53">
        <v>6130</v>
      </c>
      <c r="D34" s="54" t="s">
        <v>73</v>
      </c>
      <c r="E34" s="54"/>
      <c r="F34" s="54"/>
      <c r="G34" s="83"/>
      <c r="H34" s="356">
        <f>IF(I30="","実人数を入力してください",IF(ISBLANK(I30),C34*H30,IF(H30&lt;I30,C34*H30,C34*I30)))</f>
        <v>6130</v>
      </c>
      <c r="I34" s="11"/>
    </row>
    <row r="35" spans="2:9" ht="25.5" customHeight="1" thickTop="1" thickBot="1">
      <c r="B35" s="56"/>
      <c r="C35" s="57" t="s">
        <v>74</v>
      </c>
      <c r="D35" s="57"/>
      <c r="E35" s="58"/>
      <c r="F35" s="59"/>
      <c r="G35" s="84"/>
      <c r="H35" s="318">
        <f>SUM(H33:H34)</f>
        <v>104170</v>
      </c>
    </row>
    <row r="36" spans="2:9" ht="33.75" customHeight="1"/>
    <row r="37" spans="2:9" ht="33.75" customHeight="1"/>
    <row r="38" spans="2:9" ht="33.75" customHeight="1"/>
    <row r="39" spans="2:9" ht="33.75" customHeight="1"/>
    <row r="40" spans="2:9" ht="33.75" customHeight="1"/>
    <row r="41" spans="2:9" ht="33.75" customHeight="1"/>
    <row r="42" spans="2:9" ht="33.75" customHeight="1"/>
    <row r="43" spans="2:9" ht="33.75" customHeight="1"/>
    <row r="44" spans="2:9" ht="33.75" customHeight="1"/>
    <row r="45" spans="2:9" ht="33.75" customHeight="1"/>
    <row r="46" spans="2:9" ht="20.25" customHeight="1"/>
    <row r="47" spans="2:9" ht="20.25" customHeight="1"/>
    <row r="48" spans="2:9"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sheetData>
  <mergeCells count="17">
    <mergeCell ref="B4:C4"/>
    <mergeCell ref="C13:D13"/>
    <mergeCell ref="C14:D14"/>
    <mergeCell ref="D4:H4"/>
    <mergeCell ref="B7:E7"/>
    <mergeCell ref="B8:E8"/>
    <mergeCell ref="G11:H11"/>
    <mergeCell ref="C11:D11"/>
    <mergeCell ref="C12:D12"/>
    <mergeCell ref="C15:D15"/>
    <mergeCell ref="C21:D21"/>
    <mergeCell ref="C23:D23"/>
    <mergeCell ref="C18:D18"/>
    <mergeCell ref="C17:D17"/>
    <mergeCell ref="C19:D19"/>
    <mergeCell ref="C20:D20"/>
    <mergeCell ref="C16:D16"/>
  </mergeCells>
  <phoneticPr fontId="1"/>
  <dataValidations count="1">
    <dataValidation type="list" allowBlank="1" showInputMessage="1" showErrorMessage="1" sqref="E18 E20:E23 E16" xr:uid="{00000000-0002-0000-0400-000000000000}">
      <formula1>"　,あり,なし"</formula1>
    </dataValidation>
  </dataValidations>
  <pageMargins left="0.92" right="0.56000000000000005" top="0.75" bottom="0.37" header="0.3" footer="0.3"/>
  <pageSetup paperSize="9" scale="83"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J100"/>
  <sheetViews>
    <sheetView view="pageBreakPreview" zoomScale="85" zoomScaleNormal="70" zoomScaleSheetLayoutView="85" workbookViewId="0"/>
  </sheetViews>
  <sheetFormatPr defaultColWidth="9" defaultRowHeight="18.75"/>
  <cols>
    <col min="1" max="1" width="2.875" style="11" customWidth="1"/>
    <col min="2" max="2" width="3" style="9" customWidth="1"/>
    <col min="3" max="3" width="13.125" style="9" customWidth="1"/>
    <col min="4" max="4" width="23.375" style="9" customWidth="1"/>
    <col min="5" max="5" width="8" style="9" customWidth="1"/>
    <col min="6" max="6" width="9.375" style="10" customWidth="1"/>
    <col min="7" max="7" width="7.125" style="10" hidden="1" customWidth="1"/>
    <col min="8" max="9" width="13.75" style="10" customWidth="1"/>
    <col min="10" max="16384" width="9" style="11"/>
  </cols>
  <sheetData>
    <row r="1" spans="1:10" s="8" customFormat="1" ht="25.5" customHeight="1">
      <c r="A1" s="5" t="s">
        <v>133</v>
      </c>
      <c r="B1" s="6"/>
      <c r="C1" s="6"/>
      <c r="D1" s="6"/>
      <c r="E1" s="6"/>
      <c r="F1" s="7"/>
      <c r="G1" s="7"/>
      <c r="H1" s="7"/>
      <c r="I1" s="7"/>
    </row>
    <row r="2" spans="1:10" ht="25.5" customHeight="1">
      <c r="A2" s="5" t="s">
        <v>139</v>
      </c>
    </row>
    <row r="3" spans="1:10" ht="25.5" customHeight="1" thickBot="1">
      <c r="A3" s="5"/>
    </row>
    <row r="4" spans="1:10" ht="25.5" customHeight="1" thickBot="1">
      <c r="A4" s="9"/>
      <c r="B4" s="656" t="s">
        <v>0</v>
      </c>
      <c r="C4" s="656"/>
      <c r="D4" s="653" t="s">
        <v>52</v>
      </c>
      <c r="E4" s="654"/>
      <c r="F4" s="654"/>
      <c r="G4" s="654"/>
      <c r="H4" s="655"/>
    </row>
    <row r="5" spans="1:10" ht="25.5" customHeight="1">
      <c r="A5" s="9"/>
      <c r="C5" s="12"/>
      <c r="D5" s="12"/>
      <c r="E5" s="12"/>
      <c r="F5" s="12"/>
      <c r="G5" s="12"/>
      <c r="H5" s="12"/>
    </row>
    <row r="6" spans="1:10" ht="25.5" customHeight="1" thickBot="1">
      <c r="A6" s="13" t="s">
        <v>79</v>
      </c>
    </row>
    <row r="7" spans="1:10" ht="28.5" customHeight="1">
      <c r="B7" s="651"/>
      <c r="C7" s="652"/>
      <c r="D7" s="706"/>
      <c r="E7" s="18" t="s">
        <v>12</v>
      </c>
      <c r="F7" s="19" t="s">
        <v>13</v>
      </c>
      <c r="G7" s="673" t="s">
        <v>14</v>
      </c>
      <c r="H7" s="695"/>
    </row>
    <row r="8" spans="1:10" ht="25.5" customHeight="1" thickBot="1">
      <c r="B8" s="20" t="s">
        <v>15</v>
      </c>
      <c r="C8" s="85" t="s">
        <v>61</v>
      </c>
      <c r="D8" s="85"/>
      <c r="E8" s="21"/>
      <c r="F8" s="22"/>
      <c r="G8" s="60"/>
      <c r="H8" s="61"/>
    </row>
    <row r="9" spans="1:10" ht="25.5" customHeight="1" thickBot="1">
      <c r="B9" s="23"/>
      <c r="C9" s="693" t="s">
        <v>140</v>
      </c>
      <c r="D9" s="694"/>
      <c r="E9" s="86"/>
      <c r="F9" s="1">
        <v>15</v>
      </c>
      <c r="G9" s="102">
        <f>IF(E10="あり",F9/5,F9/3)</f>
        <v>3</v>
      </c>
      <c r="H9" s="103">
        <f>IF(E11="なし",ROUND(G9,1),0)</f>
        <v>3</v>
      </c>
      <c r="J9" s="25"/>
    </row>
    <row r="10" spans="1:10" ht="25.5" customHeight="1">
      <c r="B10" s="23"/>
      <c r="C10" s="709" t="s">
        <v>141</v>
      </c>
      <c r="D10" s="710"/>
      <c r="E10" s="87" t="s">
        <v>18</v>
      </c>
      <c r="F10" s="28"/>
      <c r="G10" s="104"/>
      <c r="H10" s="105"/>
      <c r="J10" s="25"/>
    </row>
    <row r="11" spans="1:10" ht="25.5" customHeight="1" thickBot="1">
      <c r="B11" s="23"/>
      <c r="C11" s="704" t="s">
        <v>113</v>
      </c>
      <c r="D11" s="705"/>
      <c r="E11" s="88" t="s">
        <v>111</v>
      </c>
      <c r="F11" s="89"/>
      <c r="G11" s="106"/>
      <c r="H11" s="107"/>
      <c r="J11" s="25"/>
    </row>
    <row r="12" spans="1:10" ht="25.5" customHeight="1" thickBot="1">
      <c r="B12" s="23"/>
      <c r="C12" s="638" t="s">
        <v>114</v>
      </c>
      <c r="D12" s="639"/>
      <c r="E12" s="24"/>
      <c r="F12" s="1">
        <v>7</v>
      </c>
      <c r="G12" s="108">
        <f>IF(E11="あり",F12/5,0)</f>
        <v>0</v>
      </c>
      <c r="H12" s="109">
        <f>ROUNDDOWN(G12,1)</f>
        <v>0</v>
      </c>
      <c r="J12" s="25"/>
    </row>
    <row r="13" spans="1:10" ht="25.5" customHeight="1" thickBot="1">
      <c r="B13" s="23"/>
      <c r="C13" s="691" t="s">
        <v>115</v>
      </c>
      <c r="D13" s="692"/>
      <c r="E13" s="90"/>
      <c r="F13" s="1">
        <v>3</v>
      </c>
      <c r="G13" s="64">
        <f>IF(E11="あり",F13/2,0)</f>
        <v>0</v>
      </c>
      <c r="H13" s="65">
        <f>ROUNDDOWN(G13,1)</f>
        <v>0</v>
      </c>
      <c r="J13" s="25"/>
    </row>
    <row r="14" spans="1:10" ht="25.5" customHeight="1" thickTop="1">
      <c r="B14" s="26"/>
      <c r="C14" s="91" t="s">
        <v>65</v>
      </c>
      <c r="D14" s="91"/>
      <c r="E14" s="27"/>
      <c r="F14" s="28"/>
      <c r="G14" s="110"/>
      <c r="H14" s="67">
        <f>ROUND(SUM(H9:H13),0)</f>
        <v>3</v>
      </c>
      <c r="J14" s="25"/>
    </row>
    <row r="15" spans="1:10" ht="25.5" customHeight="1">
      <c r="B15" s="92" t="s">
        <v>20</v>
      </c>
      <c r="C15" s="649" t="s">
        <v>137</v>
      </c>
      <c r="D15" s="700"/>
      <c r="E15" s="93" t="s">
        <v>18</v>
      </c>
      <c r="F15" s="94"/>
      <c r="G15" s="111"/>
      <c r="H15" s="112">
        <f>IF(E15="あり",0.4,0)</f>
        <v>0.4</v>
      </c>
    </row>
    <row r="16" spans="1:10" ht="25.5" customHeight="1">
      <c r="B16" s="26" t="s">
        <v>22</v>
      </c>
      <c r="C16" s="133" t="s">
        <v>37</v>
      </c>
      <c r="D16" s="355"/>
      <c r="E16" s="88" t="s">
        <v>18</v>
      </c>
      <c r="F16" s="266"/>
      <c r="G16" s="115"/>
      <c r="H16" s="315">
        <f>IF(E16="あり",0.6,0)</f>
        <v>0.6</v>
      </c>
    </row>
    <row r="17" spans="1:9" ht="25.5" customHeight="1">
      <c r="B17" s="95" t="s">
        <v>24</v>
      </c>
      <c r="C17" s="707" t="s">
        <v>108</v>
      </c>
      <c r="D17" s="708"/>
      <c r="E17" s="87" t="s">
        <v>18</v>
      </c>
      <c r="F17" s="96"/>
      <c r="G17" s="104"/>
      <c r="H17" s="113">
        <f>IF(E17="あり",-1,0)</f>
        <v>-1</v>
      </c>
    </row>
    <row r="18" spans="1:9" ht="25.5" customHeight="1" thickBot="1">
      <c r="B18" s="701" t="s">
        <v>109</v>
      </c>
      <c r="C18" s="702"/>
      <c r="D18" s="702"/>
      <c r="E18" s="702"/>
      <c r="F18" s="703"/>
      <c r="G18" s="71"/>
      <c r="H18" s="114">
        <v>1.6</v>
      </c>
    </row>
    <row r="19" spans="1:9" ht="25.5" customHeight="1" thickTop="1" thickBot="1">
      <c r="B19" s="36" t="s">
        <v>42</v>
      </c>
      <c r="F19" s="37"/>
      <c r="G19" s="115"/>
      <c r="H19" s="74">
        <f>SUM(H14:H18)</f>
        <v>4.5999999999999996</v>
      </c>
    </row>
    <row r="20" spans="1:9" ht="25.5" customHeight="1" thickBot="1">
      <c r="B20" s="38" t="s">
        <v>43</v>
      </c>
      <c r="C20" s="39"/>
      <c r="D20" s="39"/>
      <c r="E20" s="39"/>
      <c r="F20" s="40"/>
      <c r="G20" s="116"/>
      <c r="H20" s="76">
        <f>ROUND(H19,0)</f>
        <v>5</v>
      </c>
    </row>
    <row r="21" spans="1:9" ht="25.5" customHeight="1">
      <c r="B21" s="41"/>
      <c r="G21" s="97"/>
      <c r="H21" s="43"/>
    </row>
    <row r="22" spans="1:9" ht="25.5" customHeight="1" thickBot="1">
      <c r="A22" s="13" t="s">
        <v>45</v>
      </c>
      <c r="F22" s="9"/>
      <c r="G22" s="98"/>
      <c r="H22" s="352" t="s">
        <v>124</v>
      </c>
      <c r="I22" s="353" t="s">
        <v>123</v>
      </c>
    </row>
    <row r="23" spans="1:9" ht="25.5" customHeight="1" thickBot="1">
      <c r="B23" s="45" t="s">
        <v>46</v>
      </c>
      <c r="C23" s="46"/>
      <c r="D23" s="46"/>
      <c r="E23" s="46"/>
      <c r="F23" s="39"/>
      <c r="G23" s="47">
        <f>H20/3</f>
        <v>1.6666666666666667</v>
      </c>
      <c r="H23" s="81">
        <f>IF(ROUND(G23,0)=0,1,ROUND(G23,0))</f>
        <v>2</v>
      </c>
      <c r="I23" s="292">
        <v>2</v>
      </c>
    </row>
    <row r="24" spans="1:9" ht="25.5" customHeight="1" thickBot="1">
      <c r="B24" s="49" t="s">
        <v>47</v>
      </c>
      <c r="C24" s="46"/>
      <c r="D24" s="46"/>
      <c r="E24" s="46"/>
      <c r="F24" s="39"/>
      <c r="G24" s="47">
        <f>H20/5</f>
        <v>1</v>
      </c>
      <c r="H24" s="81">
        <f>IF(ROUND(G24,0)=0,1,ROUND(G24,0))</f>
        <v>1</v>
      </c>
      <c r="I24" s="292">
        <v>1</v>
      </c>
    </row>
    <row r="25" spans="1:9" ht="25.5" customHeight="1">
      <c r="F25" s="9"/>
      <c r="H25" s="43"/>
      <c r="I25" s="11"/>
    </row>
    <row r="26" spans="1:9" ht="25.5" customHeight="1" thickBot="1">
      <c r="A26" s="13" t="s">
        <v>48</v>
      </c>
      <c r="F26" s="9"/>
      <c r="I26" s="11"/>
    </row>
    <row r="27" spans="1:9" ht="25.5" customHeight="1" thickBot="1">
      <c r="B27" s="49"/>
      <c r="C27" s="50">
        <v>49020</v>
      </c>
      <c r="D27" s="46" t="s">
        <v>72</v>
      </c>
      <c r="E27" s="46"/>
      <c r="F27" s="39"/>
      <c r="G27" s="99"/>
      <c r="H27" s="354">
        <f>IF(I23="","実人数を入力してください",IF(ISBLANK(I23),C27*H23,IF(H23&lt;I23,C27*H23,C27*I23)))</f>
        <v>98040</v>
      </c>
      <c r="I27" s="11"/>
    </row>
    <row r="28" spans="1:9" ht="25.5" customHeight="1" thickBot="1">
      <c r="B28" s="52"/>
      <c r="C28" s="53">
        <v>6130</v>
      </c>
      <c r="D28" s="54" t="s">
        <v>73</v>
      </c>
      <c r="E28" s="54"/>
      <c r="F28" s="100"/>
      <c r="G28" s="101"/>
      <c r="H28" s="356">
        <f>IF(I24="","実人数を入力してください",IF(ISBLANK(I24),C28*H24,IF(H24&lt;I24,C28*H24,C28*I24)))</f>
        <v>6130</v>
      </c>
      <c r="I28" s="11"/>
    </row>
    <row r="29" spans="1:9" ht="25.5" customHeight="1" thickTop="1" thickBot="1">
      <c r="B29" s="56"/>
      <c r="C29" s="57" t="s">
        <v>74</v>
      </c>
      <c r="D29" s="57"/>
      <c r="E29" s="58"/>
      <c r="F29" s="58"/>
      <c r="G29" s="59"/>
      <c r="H29" s="318">
        <f>SUM(H27:H28)</f>
        <v>104170</v>
      </c>
      <c r="I29" s="11"/>
    </row>
    <row r="30" spans="1:9" ht="33.75" customHeight="1"/>
    <row r="31" spans="1:9" ht="33.75" customHeight="1"/>
    <row r="32" spans="1:9" ht="33.75" customHeight="1"/>
    <row r="33" ht="33.75" customHeight="1"/>
    <row r="34" ht="33.75" customHeight="1"/>
    <row r="35" ht="33.75" customHeight="1"/>
    <row r="36" ht="33.75" customHeight="1"/>
    <row r="37" ht="33.75" customHeight="1"/>
    <row r="38" ht="33.75" customHeight="1"/>
    <row r="39" ht="33.7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sheetData>
  <mergeCells count="12">
    <mergeCell ref="B4:C4"/>
    <mergeCell ref="D4:H4"/>
    <mergeCell ref="G7:H7"/>
    <mergeCell ref="C9:D9"/>
    <mergeCell ref="C10:D10"/>
    <mergeCell ref="B18:F18"/>
    <mergeCell ref="C11:D11"/>
    <mergeCell ref="B7:D7"/>
    <mergeCell ref="C12:D12"/>
    <mergeCell ref="C13:D13"/>
    <mergeCell ref="C17:D17"/>
    <mergeCell ref="C15:D15"/>
  </mergeCells>
  <phoneticPr fontId="1"/>
  <dataValidations count="1">
    <dataValidation type="list" allowBlank="1" showInputMessage="1" showErrorMessage="1" sqref="E10:E11 E15:E17" xr:uid="{00000000-0002-0000-0500-000000000000}">
      <formula1>"　,あり,なし"</formula1>
    </dataValidation>
  </dataValidations>
  <pageMargins left="0.92" right="0.56000000000000005" top="0.75" bottom="0.37" header="0.3" footer="0.3"/>
  <pageSetup paperSize="9" scale="91"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349EC1B8497D47AF2D8CE59E582157" ma:contentTypeVersion="16" ma:contentTypeDescription="新しいドキュメントを作成します。" ma:contentTypeScope="" ma:versionID="4959aa83731115d890ef3e81c16e940b">
  <xsd:schema xmlns:xsd="http://www.w3.org/2001/XMLSchema" xmlns:xs="http://www.w3.org/2001/XMLSchema" xmlns:p="http://schemas.microsoft.com/office/2006/metadata/properties" xmlns:ns2="e02656ad-25e1-4290-9c54-4f92fcdcad21" xmlns:ns3="7f1e29f5-1aa2-4ed7-a4c5-0f459278da93" targetNamespace="http://schemas.microsoft.com/office/2006/metadata/properties" ma:root="true" ma:fieldsID="66c3319397e0b95ce161b702cdecb4c2" ns2:_="" ns3:_="">
    <xsd:import namespace="e02656ad-25e1-4290-9c54-4f92fcdcad2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656ad-25e1-4290-9c54-4f92fcdcad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Flow_SignoffStatus" ma:index="20" nillable="true" ma:displayName="承認の状態" ma:internalName="_x627f__x8a8d__x306e__x72b6__x614b_">
      <xsd:simpleType>
        <xsd:restriction base="dms:Text"/>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2656ad-25e1-4290-9c54-4f92fcdcad21">
      <Terms xmlns="http://schemas.microsoft.com/office/infopath/2007/PartnerControls"/>
    </lcf76f155ced4ddcb4097134ff3c332f>
    <TaxCatchAll xmlns="7f1e29f5-1aa2-4ed7-a4c5-0f459278da93" xsi:nil="true"/>
    <_Flow_SignoffStatus xmlns="e02656ad-25e1-4290-9c54-4f92fcdcad21" xsi:nil="true"/>
  </documentManagement>
</p:properties>
</file>

<file path=customXml/itemProps1.xml><?xml version="1.0" encoding="utf-8"?>
<ds:datastoreItem xmlns:ds="http://schemas.openxmlformats.org/officeDocument/2006/customXml" ds:itemID="{AA074A78-7E82-4BE4-A0D7-F2FEA3DE39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2656ad-25e1-4290-9c54-4f92fcdcad2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D2476F-047F-431F-BAA1-83CF0E9EB80C}">
  <ds:schemaRefs>
    <ds:schemaRef ds:uri="http://schemas.microsoft.com/sharepoint/v3/contenttype/forms"/>
  </ds:schemaRefs>
</ds:datastoreItem>
</file>

<file path=customXml/itemProps3.xml><?xml version="1.0" encoding="utf-8"?>
<ds:datastoreItem xmlns:ds="http://schemas.openxmlformats.org/officeDocument/2006/customXml" ds:itemID="{0EDE3122-3758-4FA7-9485-3E8B0C0B3AF4}">
  <ds:schemaRefs>
    <ds:schemaRef ds:uri="http://schemas.microsoft.com/office/2006/metadata/properties"/>
    <ds:schemaRef ds:uri="http://schemas.microsoft.com/office/infopath/2007/PartnerControls"/>
    <ds:schemaRef ds:uri="e02656ad-25e1-4290-9c54-4f92fcdcad21"/>
    <ds:schemaRef ds:uri="7f1e29f5-1aa2-4ed7-a4c5-0f459278da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加算概算額計算　認こ園</vt:lpstr>
      <vt:lpstr>加算概算額計算　保育所</vt:lpstr>
      <vt:lpstr>平均年齢別児童数計算表</vt:lpstr>
      <vt:lpstr>幼稚園</vt:lpstr>
      <vt:lpstr>保育所</vt:lpstr>
      <vt:lpstr>認定こども園</vt:lpstr>
      <vt:lpstr>小規模（事業所内）Ａ・Ｂ</vt:lpstr>
      <vt:lpstr>事業所内（定員20以上）</vt:lpstr>
      <vt:lpstr>小規模Ｃ</vt:lpstr>
      <vt:lpstr>'事業所内（定員20以上）'!Print_Area</vt:lpstr>
      <vt:lpstr>'小規模（事業所内）Ａ・Ｂ'!Print_Area</vt:lpstr>
      <vt:lpstr>小規模Ｃ!Print_Area</vt:lpstr>
      <vt:lpstr>認定こども園!Print_Area</vt:lpstr>
      <vt:lpstr>保育所!Print_Area</vt:lpstr>
      <vt:lpstr>幼稚園!Print_Area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2025-05-19T05:26:24Z</dcterms:created>
  <dcterms:modified xsi:type="dcterms:W3CDTF">2025-08-25T04:19:10Z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15715600</vt:r8>
  </property>
  <property fmtid="{D5CDD505-2E9C-101B-9397-08002B2CF9AE}" pid="3" name="MediaServiceImageTags">
    <vt:lpwstr/>
  </property>
  <property fmtid="{D5CDD505-2E9C-101B-9397-08002B2CF9AE}" pid="4" name="ContentTypeId">
    <vt:lpwstr>0x010100A2349EC1B8497D47AF2D8CE59E582157</vt:lpwstr>
  </property>
</Properties>
</file>